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kalibauer\Downloads\"/>
    </mc:Choice>
  </mc:AlternateContent>
  <xr:revisionPtr revIDLastSave="0" documentId="13_ncr:1_{4DE9F96A-1A54-416C-BA1A-073FBCB74785}" xr6:coauthVersionLast="47" xr6:coauthVersionMax="47" xr10:uidLastSave="{00000000-0000-0000-0000-000000000000}"/>
  <bookViews>
    <workbookView xWindow="-120" yWindow="-120" windowWidth="29040" windowHeight="15840" tabRatio="800" xr2:uid="{D8BC8BBF-2F62-4AEE-848D-3B4F7149CC36}"/>
  </bookViews>
  <sheets>
    <sheet name="Activities" sheetId="1" r:id="rId1"/>
    <sheet name="CSAP Codes" sheetId="45" r:id="rId2"/>
    <sheet name="October 2023" sheetId="5" r:id="rId3"/>
    <sheet name="November 2023" sheetId="46" r:id="rId4"/>
    <sheet name="December 2023" sheetId="47" r:id="rId5"/>
    <sheet name="January 2024" sheetId="48" r:id="rId6"/>
    <sheet name="February 2024" sheetId="49" r:id="rId7"/>
    <sheet name="March 2024" sheetId="50" r:id="rId8"/>
    <sheet name="April 2024" sheetId="51" r:id="rId9"/>
    <sheet name="May 2024" sheetId="52" r:id="rId10"/>
    <sheet name="June 2024" sheetId="53" r:id="rId11"/>
    <sheet name="July 2024" sheetId="54" r:id="rId12"/>
    <sheet name="August 2024" sheetId="55" r:id="rId13"/>
    <sheet name="September 2024" sheetId="56" r:id="rId14"/>
    <sheet name="Year One Summary" sheetId="42" r:id="rId15"/>
    <sheet name="October 2024" sheetId="57" r:id="rId16"/>
    <sheet name="November 2024" sheetId="58" r:id="rId17"/>
    <sheet name="December 2024" sheetId="59" r:id="rId18"/>
    <sheet name="January 2025" sheetId="60" r:id="rId19"/>
    <sheet name="February 2025" sheetId="61" r:id="rId20"/>
    <sheet name="March 2025" sheetId="62" r:id="rId21"/>
    <sheet name="April 2025" sheetId="63" r:id="rId22"/>
    <sheet name="May 2025" sheetId="64" r:id="rId23"/>
    <sheet name="June 2025" sheetId="65" r:id="rId24"/>
    <sheet name="July 2025" sheetId="66" r:id="rId25"/>
    <sheet name="August 2025" sheetId="67" r:id="rId26"/>
    <sheet name="September 2025" sheetId="68" r:id="rId27"/>
    <sheet name="Year Two Summary" sheetId="43" r:id="rId28"/>
    <sheet name="October 2025" sheetId="69" r:id="rId29"/>
    <sheet name="November 2025" sheetId="70" r:id="rId30"/>
    <sheet name="December 2025" sheetId="71" r:id="rId31"/>
    <sheet name="January 2026" sheetId="72" r:id="rId32"/>
    <sheet name="February 2026" sheetId="73" r:id="rId33"/>
    <sheet name="March 2026" sheetId="74" r:id="rId34"/>
    <sheet name="April 2026" sheetId="75" r:id="rId35"/>
    <sheet name="May 2026" sheetId="76" r:id="rId36"/>
    <sheet name="June 2026" sheetId="77" r:id="rId37"/>
    <sheet name="July 2026" sheetId="78" r:id="rId38"/>
    <sheet name="August 2026" sheetId="79" r:id="rId39"/>
    <sheet name="September 2026" sheetId="80" r:id="rId40"/>
    <sheet name="Year Three Summary" sheetId="44" r:id="rId41"/>
    <sheet name="Total Summary" sheetId="4" r:id="rId42"/>
  </sheets>
  <definedNames>
    <definedName name="_Hlk7422930" localSheetId="0">Activities!$A$63</definedName>
    <definedName name="_Hlk7422930" localSheetId="1">'CSAP Codes'!#REF!</definedName>
    <definedName name="_Hlk7422930" localSheetId="41">'Total Summary'!#REF!</definedName>
    <definedName name="_Hlk7422930" localSheetId="14">'Year One Summary'!#REF!</definedName>
    <definedName name="_Hlk7422930" localSheetId="40">'Year Three Summary'!#REF!</definedName>
    <definedName name="_Hlk7422930" localSheetId="27">'Year Two Summary'!#REF!</definedName>
    <definedName name="CSAPcodes">'CSAP Codes'!$A$77:$A$111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80" l="1"/>
  <c r="F98" i="80"/>
  <c r="E98" i="80"/>
  <c r="D98" i="80"/>
  <c r="C98" i="80"/>
  <c r="G88" i="80"/>
  <c r="G86" i="80"/>
  <c r="G76" i="80" s="1"/>
  <c r="F86" i="80"/>
  <c r="E86" i="80"/>
  <c r="D86" i="80"/>
  <c r="C86" i="80"/>
  <c r="G74" i="80"/>
  <c r="F74" i="80"/>
  <c r="E74" i="80"/>
  <c r="D74" i="80"/>
  <c r="C74" i="80"/>
  <c r="G64" i="80"/>
  <c r="G62" i="80"/>
  <c r="F62" i="80"/>
  <c r="E62" i="80"/>
  <c r="D62" i="80"/>
  <c r="C62" i="80"/>
  <c r="G55" i="80"/>
  <c r="G53" i="80"/>
  <c r="F53" i="80"/>
  <c r="E53" i="80"/>
  <c r="D53" i="80"/>
  <c r="C53" i="80"/>
  <c r="G43" i="80"/>
  <c r="G41" i="80"/>
  <c r="G31" i="80" s="1"/>
  <c r="F41" i="80"/>
  <c r="E41" i="80"/>
  <c r="D41" i="80"/>
  <c r="C41" i="80"/>
  <c r="G29" i="80"/>
  <c r="F29" i="80"/>
  <c r="E29" i="80"/>
  <c r="D29" i="80"/>
  <c r="C29" i="80"/>
  <c r="G14" i="80"/>
  <c r="G12" i="80"/>
  <c r="F12" i="80"/>
  <c r="E12" i="80"/>
  <c r="D12" i="80"/>
  <c r="C12" i="80"/>
  <c r="G2" i="80"/>
  <c r="G98" i="79"/>
  <c r="F98" i="79"/>
  <c r="E98" i="79"/>
  <c r="D98" i="79"/>
  <c r="C98" i="79"/>
  <c r="G88" i="79"/>
  <c r="G86" i="79"/>
  <c r="G76" i="79" s="1"/>
  <c r="F86" i="79"/>
  <c r="E86" i="79"/>
  <c r="D86" i="79"/>
  <c r="C86" i="79"/>
  <c r="G74" i="79"/>
  <c r="F74" i="79"/>
  <c r="E74" i="79"/>
  <c r="D74" i="79"/>
  <c r="C74" i="79"/>
  <c r="G64" i="79"/>
  <c r="G62" i="79"/>
  <c r="F62" i="79"/>
  <c r="E62" i="79"/>
  <c r="D62" i="79"/>
  <c r="C62" i="79"/>
  <c r="G55" i="79"/>
  <c r="G53" i="79"/>
  <c r="F53" i="79"/>
  <c r="E53" i="79"/>
  <c r="D53" i="79"/>
  <c r="C53" i="79"/>
  <c r="G43" i="79"/>
  <c r="G41" i="79"/>
  <c r="G31" i="79" s="1"/>
  <c r="F41" i="79"/>
  <c r="E41" i="79"/>
  <c r="D41" i="79"/>
  <c r="C41" i="79"/>
  <c r="G29" i="79"/>
  <c r="G14" i="79" s="1"/>
  <c r="F29" i="79"/>
  <c r="E29" i="79"/>
  <c r="D29" i="79"/>
  <c r="C29" i="79"/>
  <c r="G12" i="79"/>
  <c r="F12" i="79"/>
  <c r="E12" i="79"/>
  <c r="D12" i="79"/>
  <c r="C12" i="79"/>
  <c r="G2" i="79"/>
  <c r="G98" i="78"/>
  <c r="G88" i="78" s="1"/>
  <c r="F98" i="78"/>
  <c r="E98" i="78"/>
  <c r="D98" i="78"/>
  <c r="C98" i="78"/>
  <c r="G86" i="78"/>
  <c r="G76" i="78" s="1"/>
  <c r="F86" i="78"/>
  <c r="E86" i="78"/>
  <c r="D86" i="78"/>
  <c r="C86" i="78"/>
  <c r="G74" i="78"/>
  <c r="G64" i="78" s="1"/>
  <c r="F74" i="78"/>
  <c r="E74" i="78"/>
  <c r="D74" i="78"/>
  <c r="C74" i="78"/>
  <c r="G62" i="78"/>
  <c r="G55" i="78" s="1"/>
  <c r="F62" i="78"/>
  <c r="E62" i="78"/>
  <c r="D62" i="78"/>
  <c r="C62" i="78"/>
  <c r="G53" i="78"/>
  <c r="G43" i="78" s="1"/>
  <c r="F53" i="78"/>
  <c r="E53" i="78"/>
  <c r="D53" i="78"/>
  <c r="C53" i="78"/>
  <c r="G41" i="78"/>
  <c r="G31" i="78" s="1"/>
  <c r="F41" i="78"/>
  <c r="E41" i="78"/>
  <c r="D41" i="78"/>
  <c r="C41" i="78"/>
  <c r="G29" i="78"/>
  <c r="G14" i="78" s="1"/>
  <c r="F29" i="78"/>
  <c r="E29" i="78"/>
  <c r="D29" i="78"/>
  <c r="C29" i="78"/>
  <c r="G12" i="78"/>
  <c r="G2" i="78" s="1"/>
  <c r="F12" i="78"/>
  <c r="E12" i="78"/>
  <c r="D12" i="78"/>
  <c r="C12" i="78"/>
  <c r="G98" i="77"/>
  <c r="F98" i="77"/>
  <c r="E98" i="77"/>
  <c r="D98" i="77"/>
  <c r="C98" i="77"/>
  <c r="G88" i="77"/>
  <c r="G86" i="77"/>
  <c r="G76" i="77" s="1"/>
  <c r="F86" i="77"/>
  <c r="E86" i="77"/>
  <c r="D86" i="77"/>
  <c r="C86" i="77"/>
  <c r="G74" i="77"/>
  <c r="G64" i="77" s="1"/>
  <c r="F74" i="77"/>
  <c r="E74" i="77"/>
  <c r="D74" i="77"/>
  <c r="C74" i="77"/>
  <c r="G62" i="77"/>
  <c r="G55" i="77" s="1"/>
  <c r="F62" i="77"/>
  <c r="E62" i="77"/>
  <c r="D62" i="77"/>
  <c r="C62" i="77"/>
  <c r="G53" i="77"/>
  <c r="F53" i="77"/>
  <c r="E53" i="77"/>
  <c r="D53" i="77"/>
  <c r="C53" i="77"/>
  <c r="G43" i="77"/>
  <c r="G41" i="77"/>
  <c r="G31" i="77" s="1"/>
  <c r="F41" i="77"/>
  <c r="E41" i="77"/>
  <c r="D41" i="77"/>
  <c r="C41" i="77"/>
  <c r="G29" i="77"/>
  <c r="G14" i="77" s="1"/>
  <c r="F29" i="77"/>
  <c r="E29" i="77"/>
  <c r="D29" i="77"/>
  <c r="C29" i="77"/>
  <c r="G12" i="77"/>
  <c r="G2" i="77" s="1"/>
  <c r="F12" i="77"/>
  <c r="E12" i="77"/>
  <c r="D12" i="77"/>
  <c r="C12" i="77"/>
  <c r="G98" i="76"/>
  <c r="F98" i="76"/>
  <c r="E98" i="76"/>
  <c r="D98" i="76"/>
  <c r="C98" i="76"/>
  <c r="G88" i="76"/>
  <c r="G86" i="76"/>
  <c r="F86" i="76"/>
  <c r="E86" i="76"/>
  <c r="D86" i="76"/>
  <c r="C86" i="76"/>
  <c r="G76" i="76"/>
  <c r="G74" i="76"/>
  <c r="G64" i="76" s="1"/>
  <c r="F74" i="76"/>
  <c r="E74" i="76"/>
  <c r="D74" i="76"/>
  <c r="C74" i="76"/>
  <c r="G62" i="76"/>
  <c r="G55" i="76" s="1"/>
  <c r="F62" i="76"/>
  <c r="E62" i="76"/>
  <c r="D62" i="76"/>
  <c r="C62" i="76"/>
  <c r="G53" i="76"/>
  <c r="F53" i="76"/>
  <c r="E53" i="76"/>
  <c r="D53" i="76"/>
  <c r="C53" i="76"/>
  <c r="G43" i="76"/>
  <c r="G41" i="76"/>
  <c r="F41" i="76"/>
  <c r="E41" i="76"/>
  <c r="D41" i="76"/>
  <c r="C41" i="76"/>
  <c r="G31" i="76"/>
  <c r="G29" i="76"/>
  <c r="G14" i="76" s="1"/>
  <c r="F29" i="76"/>
  <c r="E29" i="76"/>
  <c r="D29" i="76"/>
  <c r="C29" i="76"/>
  <c r="G12" i="76"/>
  <c r="G2" i="76" s="1"/>
  <c r="G100" i="76" s="1"/>
  <c r="B15" i="44" s="1"/>
  <c r="F12" i="76"/>
  <c r="E12" i="76"/>
  <c r="D12" i="76"/>
  <c r="C12" i="76"/>
  <c r="G98" i="75"/>
  <c r="F98" i="75"/>
  <c r="E98" i="75"/>
  <c r="D98" i="75"/>
  <c r="C98" i="75"/>
  <c r="G88" i="75"/>
  <c r="G86" i="75"/>
  <c r="G76" i="75" s="1"/>
  <c r="F86" i="75"/>
  <c r="E86" i="75"/>
  <c r="D86" i="75"/>
  <c r="C86" i="75"/>
  <c r="G74" i="75"/>
  <c r="G64" i="75" s="1"/>
  <c r="F74" i="75"/>
  <c r="E74" i="75"/>
  <c r="D74" i="75"/>
  <c r="C74" i="75"/>
  <c r="G62" i="75"/>
  <c r="G55" i="75" s="1"/>
  <c r="F62" i="75"/>
  <c r="E62" i="75"/>
  <c r="D62" i="75"/>
  <c r="C62" i="75"/>
  <c r="G53" i="75"/>
  <c r="F53" i="75"/>
  <c r="E53" i="75"/>
  <c r="D53" i="75"/>
  <c r="C53" i="75"/>
  <c r="G43" i="75"/>
  <c r="G41" i="75"/>
  <c r="G31" i="75" s="1"/>
  <c r="F41" i="75"/>
  <c r="E41" i="75"/>
  <c r="D41" i="75"/>
  <c r="C41" i="75"/>
  <c r="G29" i="75"/>
  <c r="G14" i="75" s="1"/>
  <c r="F29" i="75"/>
  <c r="E29" i="75"/>
  <c r="D29" i="75"/>
  <c r="C29" i="75"/>
  <c r="G12" i="75"/>
  <c r="F12" i="75"/>
  <c r="E12" i="75"/>
  <c r="D12" i="75"/>
  <c r="C12" i="75"/>
  <c r="G2" i="75"/>
  <c r="G98" i="74"/>
  <c r="G88" i="74" s="1"/>
  <c r="F98" i="74"/>
  <c r="E98" i="74"/>
  <c r="D98" i="74"/>
  <c r="C98" i="74"/>
  <c r="G86" i="74"/>
  <c r="G76" i="74" s="1"/>
  <c r="F86" i="74"/>
  <c r="E86" i="74"/>
  <c r="D86" i="74"/>
  <c r="C86" i="74"/>
  <c r="G74" i="74"/>
  <c r="F74" i="74"/>
  <c r="E74" i="74"/>
  <c r="D74" i="74"/>
  <c r="C74" i="74"/>
  <c r="G64" i="74"/>
  <c r="G62" i="74"/>
  <c r="F62" i="74"/>
  <c r="E62" i="74"/>
  <c r="D62" i="74"/>
  <c r="C62" i="74"/>
  <c r="G55" i="74"/>
  <c r="G53" i="74"/>
  <c r="F53" i="74"/>
  <c r="E53" i="74"/>
  <c r="D53" i="74"/>
  <c r="C53" i="74"/>
  <c r="G43" i="74"/>
  <c r="G41" i="74"/>
  <c r="G31" i="74" s="1"/>
  <c r="F41" i="74"/>
  <c r="E41" i="74"/>
  <c r="D41" i="74"/>
  <c r="C41" i="74"/>
  <c r="G29" i="74"/>
  <c r="F29" i="74"/>
  <c r="E29" i="74"/>
  <c r="D29" i="74"/>
  <c r="C29" i="74"/>
  <c r="G14" i="74"/>
  <c r="G12" i="74"/>
  <c r="F12" i="74"/>
  <c r="E12" i="74"/>
  <c r="D12" i="74"/>
  <c r="C12" i="74"/>
  <c r="G2" i="74"/>
  <c r="G100" i="74" s="1"/>
  <c r="B13" i="44" s="1"/>
  <c r="G98" i="73"/>
  <c r="F98" i="73"/>
  <c r="E98" i="73"/>
  <c r="D98" i="73"/>
  <c r="C98" i="73"/>
  <c r="G88" i="73"/>
  <c r="G86" i="73"/>
  <c r="F86" i="73"/>
  <c r="E86" i="73"/>
  <c r="D86" i="73"/>
  <c r="C86" i="73"/>
  <c r="G76" i="73"/>
  <c r="G74" i="73"/>
  <c r="F74" i="73"/>
  <c r="E74" i="73"/>
  <c r="D74" i="73"/>
  <c r="C74" i="73"/>
  <c r="G64" i="73"/>
  <c r="G62" i="73"/>
  <c r="F62" i="73"/>
  <c r="E62" i="73"/>
  <c r="D62" i="73"/>
  <c r="C62" i="73"/>
  <c r="G55" i="73"/>
  <c r="G53" i="73"/>
  <c r="F53" i="73"/>
  <c r="E53" i="73"/>
  <c r="D53" i="73"/>
  <c r="C53" i="73"/>
  <c r="G43" i="73"/>
  <c r="G41" i="73"/>
  <c r="F41" i="73"/>
  <c r="E41" i="73"/>
  <c r="D41" i="73"/>
  <c r="C41" i="73"/>
  <c r="G31" i="73"/>
  <c r="G29" i="73"/>
  <c r="F29" i="73"/>
  <c r="E29" i="73"/>
  <c r="D29" i="73"/>
  <c r="C29" i="73"/>
  <c r="G14" i="73"/>
  <c r="G12" i="73"/>
  <c r="F12" i="73"/>
  <c r="E12" i="73"/>
  <c r="D12" i="73"/>
  <c r="C12" i="73"/>
  <c r="G2" i="73"/>
  <c r="G100" i="73" s="1"/>
  <c r="B12" i="44" s="1"/>
  <c r="G98" i="72"/>
  <c r="F98" i="72"/>
  <c r="E98" i="72"/>
  <c r="D98" i="72"/>
  <c r="C98" i="72"/>
  <c r="G88" i="72"/>
  <c r="G86" i="72"/>
  <c r="F86" i="72"/>
  <c r="E86" i="72"/>
  <c r="D86" i="72"/>
  <c r="C86" i="72"/>
  <c r="G76" i="72"/>
  <c r="G74" i="72"/>
  <c r="F74" i="72"/>
  <c r="E74" i="72"/>
  <c r="D74" i="72"/>
  <c r="C74" i="72"/>
  <c r="G64" i="72"/>
  <c r="G62" i="72"/>
  <c r="F62" i="72"/>
  <c r="E62" i="72"/>
  <c r="D62" i="72"/>
  <c r="C62" i="72"/>
  <c r="G55" i="72"/>
  <c r="G53" i="72"/>
  <c r="F53" i="72"/>
  <c r="E53" i="72"/>
  <c r="D53" i="72"/>
  <c r="C53" i="72"/>
  <c r="G43" i="72"/>
  <c r="G41" i="72"/>
  <c r="F41" i="72"/>
  <c r="E41" i="72"/>
  <c r="D41" i="72"/>
  <c r="C41" i="72"/>
  <c r="G31" i="72"/>
  <c r="G29" i="72"/>
  <c r="G14" i="72" s="1"/>
  <c r="F29" i="72"/>
  <c r="E29" i="72"/>
  <c r="D29" i="72"/>
  <c r="C29" i="72"/>
  <c r="G12" i="72"/>
  <c r="F12" i="72"/>
  <c r="E12" i="72"/>
  <c r="D12" i="72"/>
  <c r="C12" i="72"/>
  <c r="G2" i="72"/>
  <c r="G98" i="71"/>
  <c r="F98" i="71"/>
  <c r="E98" i="71"/>
  <c r="D98" i="71"/>
  <c r="C98" i="71"/>
  <c r="G88" i="71"/>
  <c r="G86" i="71"/>
  <c r="G76" i="71" s="1"/>
  <c r="F86" i="71"/>
  <c r="E86" i="71"/>
  <c r="D86" i="71"/>
  <c r="C86" i="71"/>
  <c r="G74" i="71"/>
  <c r="F74" i="71"/>
  <c r="E74" i="71"/>
  <c r="D74" i="71"/>
  <c r="C74" i="71"/>
  <c r="G64" i="71"/>
  <c r="G62" i="71"/>
  <c r="F62" i="71"/>
  <c r="E62" i="71"/>
  <c r="D62" i="71"/>
  <c r="C62" i="71"/>
  <c r="G55" i="71"/>
  <c r="G53" i="71"/>
  <c r="F53" i="71"/>
  <c r="E53" i="71"/>
  <c r="D53" i="71"/>
  <c r="C53" i="71"/>
  <c r="G43" i="71"/>
  <c r="G41" i="71"/>
  <c r="G31" i="71" s="1"/>
  <c r="F41" i="71"/>
  <c r="E41" i="71"/>
  <c r="D41" i="71"/>
  <c r="C41" i="71"/>
  <c r="G29" i="71"/>
  <c r="F29" i="71"/>
  <c r="E29" i="71"/>
  <c r="D29" i="71"/>
  <c r="C29" i="71"/>
  <c r="G14" i="71"/>
  <c r="G12" i="71"/>
  <c r="F12" i="71"/>
  <c r="E12" i="71"/>
  <c r="D12" i="71"/>
  <c r="C12" i="71"/>
  <c r="G2" i="71"/>
  <c r="G98" i="70"/>
  <c r="F98" i="70"/>
  <c r="E98" i="70"/>
  <c r="D98" i="70"/>
  <c r="C98" i="70"/>
  <c r="G88" i="70"/>
  <c r="G86" i="70"/>
  <c r="G76" i="70" s="1"/>
  <c r="F86" i="70"/>
  <c r="E86" i="70"/>
  <c r="D86" i="70"/>
  <c r="C86" i="70"/>
  <c r="G74" i="70"/>
  <c r="G64" i="70" s="1"/>
  <c r="F74" i="70"/>
  <c r="E74" i="70"/>
  <c r="D74" i="70"/>
  <c r="C74" i="70"/>
  <c r="G62" i="70"/>
  <c r="G55" i="70" s="1"/>
  <c r="F62" i="70"/>
  <c r="E62" i="70"/>
  <c r="D62" i="70"/>
  <c r="C62" i="70"/>
  <c r="G53" i="70"/>
  <c r="F53" i="70"/>
  <c r="E53" i="70"/>
  <c r="D53" i="70"/>
  <c r="C53" i="70"/>
  <c r="G43" i="70"/>
  <c r="G41" i="70"/>
  <c r="G31" i="70" s="1"/>
  <c r="F41" i="70"/>
  <c r="E41" i="70"/>
  <c r="D41" i="70"/>
  <c r="C41" i="70"/>
  <c r="G29" i="70"/>
  <c r="G14" i="70" s="1"/>
  <c r="F29" i="70"/>
  <c r="E29" i="70"/>
  <c r="D29" i="70"/>
  <c r="C29" i="70"/>
  <c r="G12" i="70"/>
  <c r="G2" i="70" s="1"/>
  <c r="F12" i="70"/>
  <c r="E12" i="70"/>
  <c r="D12" i="70"/>
  <c r="C12" i="70"/>
  <c r="G98" i="69"/>
  <c r="G88" i="69" s="1"/>
  <c r="F98" i="69"/>
  <c r="E98" i="69"/>
  <c r="D98" i="69"/>
  <c r="C98" i="69"/>
  <c r="G86" i="69"/>
  <c r="F86" i="69"/>
  <c r="E86" i="69"/>
  <c r="D86" i="69"/>
  <c r="C86" i="69"/>
  <c r="G76" i="69"/>
  <c r="G74" i="69"/>
  <c r="G64" i="69" s="1"/>
  <c r="F74" i="69"/>
  <c r="E74" i="69"/>
  <c r="D74" i="69"/>
  <c r="C74" i="69"/>
  <c r="G62" i="69"/>
  <c r="F62" i="69"/>
  <c r="E62" i="69"/>
  <c r="D62" i="69"/>
  <c r="C62" i="69"/>
  <c r="G55" i="69"/>
  <c r="G53" i="69"/>
  <c r="G43" i="69" s="1"/>
  <c r="F53" i="69"/>
  <c r="E53" i="69"/>
  <c r="D53" i="69"/>
  <c r="C53" i="69"/>
  <c r="G41" i="69"/>
  <c r="F41" i="69"/>
  <c r="E41" i="69"/>
  <c r="D41" i="69"/>
  <c r="C41" i="69"/>
  <c r="G31" i="69"/>
  <c r="G29" i="69"/>
  <c r="G14" i="69" s="1"/>
  <c r="F29" i="69"/>
  <c r="E29" i="69"/>
  <c r="D29" i="69"/>
  <c r="C29" i="69"/>
  <c r="G12" i="69"/>
  <c r="F12" i="69"/>
  <c r="E12" i="69"/>
  <c r="D12" i="69"/>
  <c r="C12" i="69"/>
  <c r="G2" i="69"/>
  <c r="G98" i="68"/>
  <c r="F98" i="68"/>
  <c r="E98" i="68"/>
  <c r="D98" i="68"/>
  <c r="C98" i="68"/>
  <c r="G88" i="68"/>
  <c r="G86" i="68"/>
  <c r="G76" i="68" s="1"/>
  <c r="F86" i="68"/>
  <c r="E86" i="68"/>
  <c r="D86" i="68"/>
  <c r="C86" i="68"/>
  <c r="G74" i="68"/>
  <c r="F74" i="68"/>
  <c r="E74" i="68"/>
  <c r="D74" i="68"/>
  <c r="C74" i="68"/>
  <c r="G64" i="68"/>
  <c r="G62" i="68"/>
  <c r="F62" i="68"/>
  <c r="E62" i="68"/>
  <c r="D62" i="68"/>
  <c r="C62" i="68"/>
  <c r="G55" i="68"/>
  <c r="G53" i="68"/>
  <c r="F53" i="68"/>
  <c r="E53" i="68"/>
  <c r="D53" i="68"/>
  <c r="C53" i="68"/>
  <c r="G43" i="68"/>
  <c r="G41" i="68"/>
  <c r="G31" i="68" s="1"/>
  <c r="F41" i="68"/>
  <c r="E41" i="68"/>
  <c r="D41" i="68"/>
  <c r="C41" i="68"/>
  <c r="G29" i="68"/>
  <c r="F29" i="68"/>
  <c r="E29" i="68"/>
  <c r="D29" i="68"/>
  <c r="C29" i="68"/>
  <c r="G14" i="68"/>
  <c r="G12" i="68"/>
  <c r="F12" i="68"/>
  <c r="E12" i="68"/>
  <c r="D12" i="68"/>
  <c r="C12" i="68"/>
  <c r="G2" i="68"/>
  <c r="G98" i="67"/>
  <c r="F98" i="67"/>
  <c r="E98" i="67"/>
  <c r="D98" i="67"/>
  <c r="C98" i="67"/>
  <c r="G88" i="67"/>
  <c r="G86" i="67"/>
  <c r="G76" i="67" s="1"/>
  <c r="F86" i="67"/>
  <c r="E86" i="67"/>
  <c r="D86" i="67"/>
  <c r="C86" i="67"/>
  <c r="G74" i="67"/>
  <c r="F74" i="67"/>
  <c r="E74" i="67"/>
  <c r="D74" i="67"/>
  <c r="C74" i="67"/>
  <c r="G64" i="67"/>
  <c r="G62" i="67"/>
  <c r="F62" i="67"/>
  <c r="E62" i="67"/>
  <c r="D62" i="67"/>
  <c r="C62" i="67"/>
  <c r="G55" i="67"/>
  <c r="G53" i="67"/>
  <c r="F53" i="67"/>
  <c r="E53" i="67"/>
  <c r="D53" i="67"/>
  <c r="C53" i="67"/>
  <c r="G43" i="67"/>
  <c r="G41" i="67"/>
  <c r="G31" i="67" s="1"/>
  <c r="F41" i="67"/>
  <c r="E41" i="67"/>
  <c r="D41" i="67"/>
  <c r="C41" i="67"/>
  <c r="G29" i="67"/>
  <c r="F29" i="67"/>
  <c r="E29" i="67"/>
  <c r="D29" i="67"/>
  <c r="C29" i="67"/>
  <c r="G14" i="67"/>
  <c r="G12" i="67"/>
  <c r="F12" i="67"/>
  <c r="E12" i="67"/>
  <c r="D12" i="67"/>
  <c r="C12" i="67"/>
  <c r="G2" i="67"/>
  <c r="G98" i="66"/>
  <c r="G88" i="66" s="1"/>
  <c r="F98" i="66"/>
  <c r="E98" i="66"/>
  <c r="D98" i="66"/>
  <c r="C98" i="66"/>
  <c r="G86" i="66"/>
  <c r="G76" i="66" s="1"/>
  <c r="F86" i="66"/>
  <c r="E86" i="66"/>
  <c r="D86" i="66"/>
  <c r="C86" i="66"/>
  <c r="G74" i="66"/>
  <c r="F74" i="66"/>
  <c r="E74" i="66"/>
  <c r="D74" i="66"/>
  <c r="C74" i="66"/>
  <c r="G64" i="66"/>
  <c r="G62" i="66"/>
  <c r="G55" i="66" s="1"/>
  <c r="F62" i="66"/>
  <c r="E62" i="66"/>
  <c r="D62" i="66"/>
  <c r="C62" i="66"/>
  <c r="G53" i="66"/>
  <c r="G43" i="66" s="1"/>
  <c r="F53" i="66"/>
  <c r="E53" i="66"/>
  <c r="D53" i="66"/>
  <c r="C53" i="66"/>
  <c r="G41" i="66"/>
  <c r="G31" i="66" s="1"/>
  <c r="F41" i="66"/>
  <c r="E41" i="66"/>
  <c r="D41" i="66"/>
  <c r="C41" i="66"/>
  <c r="G29" i="66"/>
  <c r="G14" i="66" s="1"/>
  <c r="F29" i="66"/>
  <c r="E29" i="66"/>
  <c r="D29" i="66"/>
  <c r="C29" i="66"/>
  <c r="G12" i="66"/>
  <c r="G2" i="66" s="1"/>
  <c r="F12" i="66"/>
  <c r="E12" i="66"/>
  <c r="D12" i="66"/>
  <c r="C12" i="66"/>
  <c r="G98" i="65"/>
  <c r="G88" i="65" s="1"/>
  <c r="F98" i="65"/>
  <c r="E98" i="65"/>
  <c r="D98" i="65"/>
  <c r="C98" i="65"/>
  <c r="G86" i="65"/>
  <c r="F86" i="65"/>
  <c r="E86" i="65"/>
  <c r="D86" i="65"/>
  <c r="C86" i="65"/>
  <c r="G76" i="65"/>
  <c r="G74" i="65"/>
  <c r="G64" i="65" s="1"/>
  <c r="F74" i="65"/>
  <c r="E74" i="65"/>
  <c r="D74" i="65"/>
  <c r="C74" i="65"/>
  <c r="G62" i="65"/>
  <c r="F62" i="65"/>
  <c r="E62" i="65"/>
  <c r="D62" i="65"/>
  <c r="C62" i="65"/>
  <c r="G55" i="65"/>
  <c r="G53" i="65"/>
  <c r="F53" i="65"/>
  <c r="E53" i="65"/>
  <c r="D53" i="65"/>
  <c r="C53" i="65"/>
  <c r="G43" i="65"/>
  <c r="G41" i="65"/>
  <c r="F41" i="65"/>
  <c r="E41" i="65"/>
  <c r="D41" i="65"/>
  <c r="C41" i="65"/>
  <c r="G31" i="65"/>
  <c r="G29" i="65"/>
  <c r="F29" i="65"/>
  <c r="E29" i="65"/>
  <c r="D29" i="65"/>
  <c r="C29" i="65"/>
  <c r="G14" i="65"/>
  <c r="G12" i="65"/>
  <c r="F12" i="65"/>
  <c r="E12" i="65"/>
  <c r="D12" i="65"/>
  <c r="C12" i="65"/>
  <c r="G2" i="65"/>
  <c r="G100" i="65" s="1"/>
  <c r="B16" i="43" s="1"/>
  <c r="G98" i="64"/>
  <c r="F98" i="64"/>
  <c r="E98" i="64"/>
  <c r="D98" i="64"/>
  <c r="C98" i="64"/>
  <c r="G88" i="64"/>
  <c r="G86" i="64"/>
  <c r="F86" i="64"/>
  <c r="E86" i="64"/>
  <c r="D86" i="64"/>
  <c r="C86" i="64"/>
  <c r="G76" i="64"/>
  <c r="G74" i="64"/>
  <c r="G64" i="64" s="1"/>
  <c r="F74" i="64"/>
  <c r="E74" i="64"/>
  <c r="D74" i="64"/>
  <c r="C74" i="64"/>
  <c r="G62" i="64"/>
  <c r="G55" i="64" s="1"/>
  <c r="F62" i="64"/>
  <c r="E62" i="64"/>
  <c r="D62" i="64"/>
  <c r="C62" i="64"/>
  <c r="G53" i="64"/>
  <c r="F53" i="64"/>
  <c r="E53" i="64"/>
  <c r="D53" i="64"/>
  <c r="C53" i="64"/>
  <c r="G43" i="64"/>
  <c r="G41" i="64"/>
  <c r="F41" i="64"/>
  <c r="E41" i="64"/>
  <c r="D41" i="64"/>
  <c r="C41" i="64"/>
  <c r="G31" i="64"/>
  <c r="G29" i="64"/>
  <c r="G14" i="64" s="1"/>
  <c r="F29" i="64"/>
  <c r="E29" i="64"/>
  <c r="D29" i="64"/>
  <c r="C29" i="64"/>
  <c r="G12" i="64"/>
  <c r="G2" i="64" s="1"/>
  <c r="G100" i="64" s="1"/>
  <c r="B15" i="43" s="1"/>
  <c r="F12" i="64"/>
  <c r="E12" i="64"/>
  <c r="D12" i="64"/>
  <c r="C12" i="64"/>
  <c r="G98" i="63"/>
  <c r="G88" i="63" s="1"/>
  <c r="F98" i="63"/>
  <c r="E98" i="63"/>
  <c r="D98" i="63"/>
  <c r="C98" i="63"/>
  <c r="G86" i="63"/>
  <c r="G76" i="63" s="1"/>
  <c r="F86" i="63"/>
  <c r="E86" i="63"/>
  <c r="D86" i="63"/>
  <c r="C86" i="63"/>
  <c r="G74" i="63"/>
  <c r="G64" i="63" s="1"/>
  <c r="F74" i="63"/>
  <c r="E74" i="63"/>
  <c r="D74" i="63"/>
  <c r="C74" i="63"/>
  <c r="G62" i="63"/>
  <c r="G55" i="63" s="1"/>
  <c r="F62" i="63"/>
  <c r="E62" i="63"/>
  <c r="D62" i="63"/>
  <c r="C62" i="63"/>
  <c r="G53" i="63"/>
  <c r="F53" i="63"/>
  <c r="E53" i="63"/>
  <c r="D53" i="63"/>
  <c r="C53" i="63"/>
  <c r="G43" i="63"/>
  <c r="G41" i="63"/>
  <c r="G31" i="63" s="1"/>
  <c r="F41" i="63"/>
  <c r="E41" i="63"/>
  <c r="D41" i="63"/>
  <c r="C41" i="63"/>
  <c r="G29" i="63"/>
  <c r="G14" i="63" s="1"/>
  <c r="F29" i="63"/>
  <c r="E29" i="63"/>
  <c r="D29" i="63"/>
  <c r="C29" i="63"/>
  <c r="G12" i="63"/>
  <c r="G2" i="63" s="1"/>
  <c r="F12" i="63"/>
  <c r="E12" i="63"/>
  <c r="D12" i="63"/>
  <c r="C12" i="63"/>
  <c r="G98" i="62"/>
  <c r="G88" i="62" s="1"/>
  <c r="F98" i="62"/>
  <c r="E98" i="62"/>
  <c r="D98" i="62"/>
  <c r="C98" i="62"/>
  <c r="G86" i="62"/>
  <c r="G76" i="62" s="1"/>
  <c r="F86" i="62"/>
  <c r="E86" i="62"/>
  <c r="D86" i="62"/>
  <c r="C86" i="62"/>
  <c r="G74" i="62"/>
  <c r="F74" i="62"/>
  <c r="E74" i="62"/>
  <c r="D74" i="62"/>
  <c r="C74" i="62"/>
  <c r="G64" i="62"/>
  <c r="G62" i="62"/>
  <c r="G55" i="62" s="1"/>
  <c r="F62" i="62"/>
  <c r="E62" i="62"/>
  <c r="D62" i="62"/>
  <c r="C62" i="62"/>
  <c r="G53" i="62"/>
  <c r="G43" i="62" s="1"/>
  <c r="F53" i="62"/>
  <c r="E53" i="62"/>
  <c r="D53" i="62"/>
  <c r="C53" i="62"/>
  <c r="G41" i="62"/>
  <c r="G31" i="62" s="1"/>
  <c r="F41" i="62"/>
  <c r="E41" i="62"/>
  <c r="D41" i="62"/>
  <c r="C41" i="62"/>
  <c r="G29" i="62"/>
  <c r="G14" i="62" s="1"/>
  <c r="F29" i="62"/>
  <c r="E29" i="62"/>
  <c r="D29" i="62"/>
  <c r="C29" i="62"/>
  <c r="G12" i="62"/>
  <c r="F12" i="62"/>
  <c r="E12" i="62"/>
  <c r="D12" i="62"/>
  <c r="C12" i="62"/>
  <c r="G2" i="62"/>
  <c r="G100" i="62" s="1"/>
  <c r="B13" i="43" s="1"/>
  <c r="G98" i="61"/>
  <c r="F98" i="61"/>
  <c r="E98" i="61"/>
  <c r="D98" i="61"/>
  <c r="C98" i="61"/>
  <c r="G88" i="61"/>
  <c r="G86" i="61"/>
  <c r="G76" i="61" s="1"/>
  <c r="F86" i="61"/>
  <c r="E86" i="61"/>
  <c r="D86" i="61"/>
  <c r="C86" i="61"/>
  <c r="G74" i="61"/>
  <c r="G64" i="61" s="1"/>
  <c r="F74" i="61"/>
  <c r="E74" i="61"/>
  <c r="D74" i="61"/>
  <c r="C74" i="61"/>
  <c r="G62" i="61"/>
  <c r="F62" i="61"/>
  <c r="E62" i="61"/>
  <c r="D62" i="61"/>
  <c r="C62" i="61"/>
  <c r="G55" i="61"/>
  <c r="G53" i="61"/>
  <c r="F53" i="61"/>
  <c r="E53" i="61"/>
  <c r="D53" i="61"/>
  <c r="C53" i="61"/>
  <c r="G43" i="61"/>
  <c r="G41" i="61"/>
  <c r="G31" i="61" s="1"/>
  <c r="F41" i="61"/>
  <c r="E41" i="61"/>
  <c r="D41" i="61"/>
  <c r="C41" i="61"/>
  <c r="G29" i="61"/>
  <c r="G14" i="61" s="1"/>
  <c r="F29" i="61"/>
  <c r="E29" i="61"/>
  <c r="D29" i="61"/>
  <c r="C29" i="61"/>
  <c r="G12" i="61"/>
  <c r="F12" i="61"/>
  <c r="E12" i="61"/>
  <c r="D12" i="61"/>
  <c r="C12" i="61"/>
  <c r="G2" i="61"/>
  <c r="G98" i="60"/>
  <c r="F98" i="60"/>
  <c r="E98" i="60"/>
  <c r="D98" i="60"/>
  <c r="C98" i="60"/>
  <c r="G88" i="60"/>
  <c r="G86" i="60"/>
  <c r="F86" i="60"/>
  <c r="E86" i="60"/>
  <c r="D86" i="60"/>
  <c r="C86" i="60"/>
  <c r="G76" i="60"/>
  <c r="G74" i="60"/>
  <c r="G64" i="60" s="1"/>
  <c r="F74" i="60"/>
  <c r="E74" i="60"/>
  <c r="D74" i="60"/>
  <c r="C74" i="60"/>
  <c r="G62" i="60"/>
  <c r="F62" i="60"/>
  <c r="E62" i="60"/>
  <c r="D62" i="60"/>
  <c r="C62" i="60"/>
  <c r="G55" i="60"/>
  <c r="G53" i="60"/>
  <c r="F53" i="60"/>
  <c r="E53" i="60"/>
  <c r="D53" i="60"/>
  <c r="C53" i="60"/>
  <c r="G43" i="60"/>
  <c r="G41" i="60"/>
  <c r="G31" i="60" s="1"/>
  <c r="F41" i="60"/>
  <c r="E41" i="60"/>
  <c r="D41" i="60"/>
  <c r="C41" i="60"/>
  <c r="G29" i="60"/>
  <c r="F29" i="60"/>
  <c r="E29" i="60"/>
  <c r="D29" i="60"/>
  <c r="C29" i="60"/>
  <c r="G14" i="60"/>
  <c r="G12" i="60"/>
  <c r="F12" i="60"/>
  <c r="E12" i="60"/>
  <c r="D12" i="60"/>
  <c r="C12" i="60"/>
  <c r="G2" i="60"/>
  <c r="G100" i="60" s="1"/>
  <c r="B11" i="43" s="1"/>
  <c r="G98" i="59"/>
  <c r="F98" i="59"/>
  <c r="E98" i="59"/>
  <c r="D98" i="59"/>
  <c r="C98" i="59"/>
  <c r="G88" i="59"/>
  <c r="G86" i="59"/>
  <c r="F86" i="59"/>
  <c r="E86" i="59"/>
  <c r="D86" i="59"/>
  <c r="C86" i="59"/>
  <c r="G76" i="59"/>
  <c r="G74" i="59"/>
  <c r="G64" i="59" s="1"/>
  <c r="F74" i="59"/>
  <c r="E74" i="59"/>
  <c r="D74" i="59"/>
  <c r="C74" i="59"/>
  <c r="G62" i="59"/>
  <c r="G55" i="59" s="1"/>
  <c r="F62" i="59"/>
  <c r="E62" i="59"/>
  <c r="D62" i="59"/>
  <c r="C62" i="59"/>
  <c r="G53" i="59"/>
  <c r="F53" i="59"/>
  <c r="E53" i="59"/>
  <c r="D53" i="59"/>
  <c r="C53" i="59"/>
  <c r="G43" i="59"/>
  <c r="G41" i="59"/>
  <c r="F41" i="59"/>
  <c r="E41" i="59"/>
  <c r="D41" i="59"/>
  <c r="C41" i="59"/>
  <c r="G31" i="59"/>
  <c r="G29" i="59"/>
  <c r="G14" i="59" s="1"/>
  <c r="F29" i="59"/>
  <c r="E29" i="59"/>
  <c r="D29" i="59"/>
  <c r="C29" i="59"/>
  <c r="G12" i="59"/>
  <c r="G2" i="59" s="1"/>
  <c r="G100" i="59" s="1"/>
  <c r="B10" i="43" s="1"/>
  <c r="F12" i="59"/>
  <c r="E12" i="59"/>
  <c r="D12" i="59"/>
  <c r="C12" i="59"/>
  <c r="G98" i="58"/>
  <c r="G88" i="58" s="1"/>
  <c r="F98" i="58"/>
  <c r="E98" i="58"/>
  <c r="D98" i="58"/>
  <c r="C98" i="58"/>
  <c r="G86" i="58"/>
  <c r="G76" i="58" s="1"/>
  <c r="F86" i="58"/>
  <c r="E86" i="58"/>
  <c r="D86" i="58"/>
  <c r="C86" i="58"/>
  <c r="G74" i="58"/>
  <c r="G64" i="58" s="1"/>
  <c r="F74" i="58"/>
  <c r="E74" i="58"/>
  <c r="D74" i="58"/>
  <c r="C74" i="58"/>
  <c r="G62" i="58"/>
  <c r="F62" i="58"/>
  <c r="E62" i="58"/>
  <c r="D62" i="58"/>
  <c r="C62" i="58"/>
  <c r="G55" i="58"/>
  <c r="G53" i="58"/>
  <c r="G43" i="58" s="1"/>
  <c r="F53" i="58"/>
  <c r="E53" i="58"/>
  <c r="D53" i="58"/>
  <c r="C53" i="58"/>
  <c r="G41" i="58"/>
  <c r="G31" i="58" s="1"/>
  <c r="F41" i="58"/>
  <c r="E41" i="58"/>
  <c r="D41" i="58"/>
  <c r="C41" i="58"/>
  <c r="G29" i="58"/>
  <c r="G14" i="58" s="1"/>
  <c r="F29" i="58"/>
  <c r="E29" i="58"/>
  <c r="D29" i="58"/>
  <c r="C29" i="58"/>
  <c r="G12" i="58"/>
  <c r="G2" i="58" s="1"/>
  <c r="F12" i="58"/>
  <c r="E12" i="58"/>
  <c r="D12" i="58"/>
  <c r="C12" i="58"/>
  <c r="G98" i="57"/>
  <c r="F98" i="57"/>
  <c r="E98" i="57"/>
  <c r="D98" i="57"/>
  <c r="C98" i="57"/>
  <c r="G88" i="57"/>
  <c r="G86" i="57"/>
  <c r="G76" i="57" s="1"/>
  <c r="F86" i="57"/>
  <c r="E86" i="57"/>
  <c r="D86" i="57"/>
  <c r="C86" i="57"/>
  <c r="G74" i="57"/>
  <c r="F74" i="57"/>
  <c r="E74" i="57"/>
  <c r="D74" i="57"/>
  <c r="C74" i="57"/>
  <c r="G64" i="57"/>
  <c r="G62" i="57"/>
  <c r="G55" i="57" s="1"/>
  <c r="F62" i="57"/>
  <c r="E62" i="57"/>
  <c r="D62" i="57"/>
  <c r="C62" i="57"/>
  <c r="G53" i="57"/>
  <c r="F53" i="57"/>
  <c r="E53" i="57"/>
  <c r="D53" i="57"/>
  <c r="C53" i="57"/>
  <c r="G43" i="57"/>
  <c r="G41" i="57"/>
  <c r="G31" i="57" s="1"/>
  <c r="F41" i="57"/>
  <c r="E41" i="57"/>
  <c r="D41" i="57"/>
  <c r="C41" i="57"/>
  <c r="G29" i="57"/>
  <c r="F29" i="57"/>
  <c r="E29" i="57"/>
  <c r="D29" i="57"/>
  <c r="C29" i="57"/>
  <c r="G14" i="57"/>
  <c r="G12" i="57"/>
  <c r="G2" i="57" s="1"/>
  <c r="F12" i="57"/>
  <c r="E12" i="57"/>
  <c r="D12" i="57"/>
  <c r="C12" i="57"/>
  <c r="G98" i="56"/>
  <c r="F98" i="56"/>
  <c r="E98" i="56"/>
  <c r="D98" i="56"/>
  <c r="C98" i="56"/>
  <c r="G88" i="56"/>
  <c r="G86" i="56"/>
  <c r="G76" i="56" s="1"/>
  <c r="F86" i="56"/>
  <c r="E86" i="56"/>
  <c r="D86" i="56"/>
  <c r="C86" i="56"/>
  <c r="G74" i="56"/>
  <c r="G64" i="56" s="1"/>
  <c r="F74" i="56"/>
  <c r="E74" i="56"/>
  <c r="D74" i="56"/>
  <c r="C74" i="56"/>
  <c r="G62" i="56"/>
  <c r="F62" i="56"/>
  <c r="E62" i="56"/>
  <c r="D62" i="56"/>
  <c r="C62" i="56"/>
  <c r="G55" i="56"/>
  <c r="G53" i="56"/>
  <c r="F53" i="56"/>
  <c r="E53" i="56"/>
  <c r="D53" i="56"/>
  <c r="C53" i="56"/>
  <c r="G43" i="56"/>
  <c r="G41" i="56"/>
  <c r="G31" i="56" s="1"/>
  <c r="F41" i="56"/>
  <c r="E41" i="56"/>
  <c r="D41" i="56"/>
  <c r="C41" i="56"/>
  <c r="G29" i="56"/>
  <c r="G14" i="56" s="1"/>
  <c r="F29" i="56"/>
  <c r="E29" i="56"/>
  <c r="D29" i="56"/>
  <c r="C29" i="56"/>
  <c r="G12" i="56"/>
  <c r="F12" i="56"/>
  <c r="E12" i="56"/>
  <c r="D12" i="56"/>
  <c r="C12" i="56"/>
  <c r="G2" i="56"/>
  <c r="G100" i="56" s="1"/>
  <c r="G98" i="55"/>
  <c r="F98" i="55"/>
  <c r="E98" i="55"/>
  <c r="D98" i="55"/>
  <c r="C98" i="55"/>
  <c r="G88" i="55"/>
  <c r="G86" i="55"/>
  <c r="F86" i="55"/>
  <c r="E86" i="55"/>
  <c r="D86" i="55"/>
  <c r="C86" i="55"/>
  <c r="G76" i="55"/>
  <c r="G74" i="55"/>
  <c r="F74" i="55"/>
  <c r="E74" i="55"/>
  <c r="D74" i="55"/>
  <c r="C74" i="55"/>
  <c r="G64" i="55"/>
  <c r="G62" i="55"/>
  <c r="G55" i="55" s="1"/>
  <c r="F62" i="55"/>
  <c r="E62" i="55"/>
  <c r="D62" i="55"/>
  <c r="C62" i="55"/>
  <c r="G53" i="55"/>
  <c r="G43" i="55" s="1"/>
  <c r="F53" i="55"/>
  <c r="E53" i="55"/>
  <c r="D53" i="55"/>
  <c r="C53" i="55"/>
  <c r="G41" i="55"/>
  <c r="F41" i="55"/>
  <c r="E41" i="55"/>
  <c r="D41" i="55"/>
  <c r="C41" i="55"/>
  <c r="G31" i="55"/>
  <c r="G29" i="55"/>
  <c r="F29" i="55"/>
  <c r="E29" i="55"/>
  <c r="D29" i="55"/>
  <c r="C29" i="55"/>
  <c r="G14" i="55"/>
  <c r="G12" i="55"/>
  <c r="G2" i="55" s="1"/>
  <c r="F12" i="55"/>
  <c r="E12" i="55"/>
  <c r="D12" i="55"/>
  <c r="C12" i="55"/>
  <c r="G98" i="54"/>
  <c r="F98" i="54"/>
  <c r="E98" i="54"/>
  <c r="D98" i="54"/>
  <c r="C98" i="54"/>
  <c r="G88" i="54"/>
  <c r="G86" i="54"/>
  <c r="G76" i="54" s="1"/>
  <c r="F86" i="54"/>
  <c r="E86" i="54"/>
  <c r="D86" i="54"/>
  <c r="C86" i="54"/>
  <c r="G74" i="54"/>
  <c r="G64" i="54" s="1"/>
  <c r="F74" i="54"/>
  <c r="E74" i="54"/>
  <c r="D74" i="54"/>
  <c r="C74" i="54"/>
  <c r="G62" i="54"/>
  <c r="F62" i="54"/>
  <c r="E62" i="54"/>
  <c r="D62" i="54"/>
  <c r="C62" i="54"/>
  <c r="G55" i="54"/>
  <c r="G53" i="54"/>
  <c r="F53" i="54"/>
  <c r="E53" i="54"/>
  <c r="D53" i="54"/>
  <c r="C53" i="54"/>
  <c r="G43" i="54"/>
  <c r="G41" i="54"/>
  <c r="G31" i="54" s="1"/>
  <c r="F41" i="54"/>
  <c r="E41" i="54"/>
  <c r="D41" i="54"/>
  <c r="C41" i="54"/>
  <c r="G29" i="54"/>
  <c r="G14" i="54" s="1"/>
  <c r="F29" i="54"/>
  <c r="E29" i="54"/>
  <c r="D29" i="54"/>
  <c r="C29" i="54"/>
  <c r="G12" i="54"/>
  <c r="F12" i="54"/>
  <c r="E12" i="54"/>
  <c r="D12" i="54"/>
  <c r="C12" i="54"/>
  <c r="G2" i="54"/>
  <c r="G98" i="53"/>
  <c r="F98" i="53"/>
  <c r="E98" i="53"/>
  <c r="D98" i="53"/>
  <c r="C98" i="53"/>
  <c r="G88" i="53"/>
  <c r="G86" i="53"/>
  <c r="G76" i="53" s="1"/>
  <c r="F86" i="53"/>
  <c r="E86" i="53"/>
  <c r="D86" i="53"/>
  <c r="C86" i="53"/>
  <c r="G74" i="53"/>
  <c r="F74" i="53"/>
  <c r="E74" i="53"/>
  <c r="D74" i="53"/>
  <c r="C74" i="53"/>
  <c r="G64" i="53"/>
  <c r="G62" i="53"/>
  <c r="F62" i="53"/>
  <c r="E62" i="53"/>
  <c r="D62" i="53"/>
  <c r="C62" i="53"/>
  <c r="G55" i="53"/>
  <c r="G53" i="53"/>
  <c r="F53" i="53"/>
  <c r="E53" i="53"/>
  <c r="D53" i="53"/>
  <c r="C53" i="53"/>
  <c r="G43" i="53"/>
  <c r="G41" i="53"/>
  <c r="G31" i="53" s="1"/>
  <c r="F41" i="53"/>
  <c r="E41" i="53"/>
  <c r="D41" i="53"/>
  <c r="C41" i="53"/>
  <c r="G29" i="53"/>
  <c r="F29" i="53"/>
  <c r="E29" i="53"/>
  <c r="D29" i="53"/>
  <c r="C29" i="53"/>
  <c r="G14" i="53"/>
  <c r="G12" i="53"/>
  <c r="F12" i="53"/>
  <c r="E12" i="53"/>
  <c r="D12" i="53"/>
  <c r="C12" i="53"/>
  <c r="G2" i="53"/>
  <c r="G98" i="52"/>
  <c r="F98" i="52"/>
  <c r="E98" i="52"/>
  <c r="D98" i="52"/>
  <c r="C98" i="52"/>
  <c r="G88" i="52"/>
  <c r="G86" i="52"/>
  <c r="G76" i="52" s="1"/>
  <c r="F86" i="52"/>
  <c r="E86" i="52"/>
  <c r="D86" i="52"/>
  <c r="C86" i="52"/>
  <c r="G74" i="52"/>
  <c r="F74" i="52"/>
  <c r="E74" i="52"/>
  <c r="D74" i="52"/>
  <c r="C74" i="52"/>
  <c r="G64" i="52"/>
  <c r="G62" i="52"/>
  <c r="F62" i="52"/>
  <c r="E62" i="52"/>
  <c r="D62" i="52"/>
  <c r="C62" i="52"/>
  <c r="G55" i="52"/>
  <c r="G53" i="52"/>
  <c r="F53" i="52"/>
  <c r="E53" i="52"/>
  <c r="D53" i="52"/>
  <c r="C53" i="52"/>
  <c r="G43" i="52"/>
  <c r="G41" i="52"/>
  <c r="F41" i="52"/>
  <c r="E41" i="52"/>
  <c r="D41" i="52"/>
  <c r="C41" i="52"/>
  <c r="G31" i="52"/>
  <c r="G29" i="52"/>
  <c r="F29" i="52"/>
  <c r="E29" i="52"/>
  <c r="D29" i="52"/>
  <c r="C29" i="52"/>
  <c r="G14" i="52"/>
  <c r="G12" i="52"/>
  <c r="F12" i="52"/>
  <c r="E12" i="52"/>
  <c r="D12" i="52"/>
  <c r="C12" i="52"/>
  <c r="G2" i="52"/>
  <c r="G98" i="51"/>
  <c r="F98" i="51"/>
  <c r="E98" i="51"/>
  <c r="D98" i="51"/>
  <c r="C98" i="51"/>
  <c r="G88" i="51"/>
  <c r="G86" i="51"/>
  <c r="G76" i="51" s="1"/>
  <c r="F86" i="51"/>
  <c r="E86" i="51"/>
  <c r="D86" i="51"/>
  <c r="C86" i="51"/>
  <c r="G74" i="51"/>
  <c r="G64" i="51" s="1"/>
  <c r="F74" i="51"/>
  <c r="E74" i="51"/>
  <c r="D74" i="51"/>
  <c r="C74" i="51"/>
  <c r="G62" i="51"/>
  <c r="F62" i="51"/>
  <c r="E62" i="51"/>
  <c r="D62" i="51"/>
  <c r="C62" i="51"/>
  <c r="G55" i="51"/>
  <c r="G53" i="51"/>
  <c r="F53" i="51"/>
  <c r="E53" i="51"/>
  <c r="D53" i="51"/>
  <c r="C53" i="51"/>
  <c r="G43" i="51"/>
  <c r="G41" i="51"/>
  <c r="G31" i="51" s="1"/>
  <c r="F41" i="51"/>
  <c r="E41" i="51"/>
  <c r="D41" i="51"/>
  <c r="C41" i="51"/>
  <c r="G29" i="51"/>
  <c r="G14" i="51" s="1"/>
  <c r="F29" i="51"/>
  <c r="E29" i="51"/>
  <c r="D29" i="51"/>
  <c r="C29" i="51"/>
  <c r="G12" i="51"/>
  <c r="F12" i="51"/>
  <c r="E12" i="51"/>
  <c r="D12" i="51"/>
  <c r="C12" i="51"/>
  <c r="G2" i="51"/>
  <c r="G98" i="50"/>
  <c r="F98" i="50"/>
  <c r="E98" i="50"/>
  <c r="D98" i="50"/>
  <c r="C98" i="50"/>
  <c r="G88" i="50"/>
  <c r="G86" i="50"/>
  <c r="G76" i="50" s="1"/>
  <c r="F86" i="50"/>
  <c r="E86" i="50"/>
  <c r="D86" i="50"/>
  <c r="C86" i="50"/>
  <c r="G74" i="50"/>
  <c r="G64" i="50" s="1"/>
  <c r="F74" i="50"/>
  <c r="E74" i="50"/>
  <c r="D74" i="50"/>
  <c r="C74" i="50"/>
  <c r="G62" i="50"/>
  <c r="G55" i="50" s="1"/>
  <c r="F62" i="50"/>
  <c r="E62" i="50"/>
  <c r="D62" i="50"/>
  <c r="C62" i="50"/>
  <c r="G53" i="50"/>
  <c r="F53" i="50"/>
  <c r="E53" i="50"/>
  <c r="D53" i="50"/>
  <c r="C53" i="50"/>
  <c r="G43" i="50"/>
  <c r="G41" i="50"/>
  <c r="G31" i="50" s="1"/>
  <c r="F41" i="50"/>
  <c r="E41" i="50"/>
  <c r="D41" i="50"/>
  <c r="C41" i="50"/>
  <c r="G29" i="50"/>
  <c r="G14" i="50" s="1"/>
  <c r="F29" i="50"/>
  <c r="E29" i="50"/>
  <c r="D29" i="50"/>
  <c r="C29" i="50"/>
  <c r="G12" i="50"/>
  <c r="G2" i="50" s="1"/>
  <c r="F12" i="50"/>
  <c r="E12" i="50"/>
  <c r="D12" i="50"/>
  <c r="C12" i="50"/>
  <c r="G98" i="49"/>
  <c r="G88" i="49" s="1"/>
  <c r="F98" i="49"/>
  <c r="E98" i="49"/>
  <c r="D98" i="49"/>
  <c r="C98" i="49"/>
  <c r="G86" i="49"/>
  <c r="G76" i="49" s="1"/>
  <c r="F86" i="49"/>
  <c r="E86" i="49"/>
  <c r="D86" i="49"/>
  <c r="C86" i="49"/>
  <c r="G74" i="49"/>
  <c r="G64" i="49" s="1"/>
  <c r="F74" i="49"/>
  <c r="E74" i="49"/>
  <c r="D74" i="49"/>
  <c r="C74" i="49"/>
  <c r="G62" i="49"/>
  <c r="F62" i="49"/>
  <c r="E62" i="49"/>
  <c r="D62" i="49"/>
  <c r="C62" i="49"/>
  <c r="G55" i="49"/>
  <c r="G53" i="49"/>
  <c r="G43" i="49" s="1"/>
  <c r="F53" i="49"/>
  <c r="E53" i="49"/>
  <c r="D53" i="49"/>
  <c r="C53" i="49"/>
  <c r="G41" i="49"/>
  <c r="G31" i="49" s="1"/>
  <c r="F41" i="49"/>
  <c r="E41" i="49"/>
  <c r="D41" i="49"/>
  <c r="C41" i="49"/>
  <c r="G29" i="49"/>
  <c r="F29" i="49"/>
  <c r="E29" i="49"/>
  <c r="D29" i="49"/>
  <c r="C29" i="49"/>
  <c r="G14" i="49"/>
  <c r="G12" i="49"/>
  <c r="F12" i="49"/>
  <c r="E12" i="49"/>
  <c r="D12" i="49"/>
  <c r="C12" i="49"/>
  <c r="G2" i="49"/>
  <c r="G98" i="48"/>
  <c r="G88" i="48" s="1"/>
  <c r="F98" i="48"/>
  <c r="E98" i="48"/>
  <c r="D98" i="48"/>
  <c r="C98" i="48"/>
  <c r="G86" i="48"/>
  <c r="G76" i="48" s="1"/>
  <c r="F86" i="48"/>
  <c r="E86" i="48"/>
  <c r="D86" i="48"/>
  <c r="C86" i="48"/>
  <c r="G74" i="48"/>
  <c r="F74" i="48"/>
  <c r="E74" i="48"/>
  <c r="D74" i="48"/>
  <c r="C74" i="48"/>
  <c r="G64" i="48"/>
  <c r="G62" i="48"/>
  <c r="G55" i="48" s="1"/>
  <c r="F62" i="48"/>
  <c r="E62" i="48"/>
  <c r="D62" i="48"/>
  <c r="C62" i="48"/>
  <c r="G53" i="48"/>
  <c r="G43" i="48" s="1"/>
  <c r="F53" i="48"/>
  <c r="E53" i="48"/>
  <c r="D53" i="48"/>
  <c r="C53" i="48"/>
  <c r="G41" i="48"/>
  <c r="G31" i="48" s="1"/>
  <c r="F41" i="48"/>
  <c r="E41" i="48"/>
  <c r="D41" i="48"/>
  <c r="C41" i="48"/>
  <c r="G29" i="48"/>
  <c r="F29" i="48"/>
  <c r="E29" i="48"/>
  <c r="D29" i="48"/>
  <c r="C29" i="48"/>
  <c r="G14" i="48"/>
  <c r="G12" i="48"/>
  <c r="G2" i="48" s="1"/>
  <c r="F12" i="48"/>
  <c r="E12" i="48"/>
  <c r="D12" i="48"/>
  <c r="C12" i="48"/>
  <c r="G98" i="47"/>
  <c r="F98" i="47"/>
  <c r="E98" i="47"/>
  <c r="D98" i="47"/>
  <c r="C98" i="47"/>
  <c r="G88" i="47"/>
  <c r="G86" i="47"/>
  <c r="G76" i="47" s="1"/>
  <c r="F86" i="47"/>
  <c r="E86" i="47"/>
  <c r="D86" i="47"/>
  <c r="C86" i="47"/>
  <c r="G74" i="47"/>
  <c r="G64" i="47" s="1"/>
  <c r="F74" i="47"/>
  <c r="E74" i="47"/>
  <c r="D74" i="47"/>
  <c r="C74" i="47"/>
  <c r="G62" i="47"/>
  <c r="F62" i="47"/>
  <c r="E62" i="47"/>
  <c r="D62" i="47"/>
  <c r="C62" i="47"/>
  <c r="G55" i="47"/>
  <c r="G53" i="47"/>
  <c r="F53" i="47"/>
  <c r="E53" i="47"/>
  <c r="D53" i="47"/>
  <c r="C53" i="47"/>
  <c r="G43" i="47"/>
  <c r="G41" i="47"/>
  <c r="F41" i="47"/>
  <c r="E41" i="47"/>
  <c r="D41" i="47"/>
  <c r="C41" i="47"/>
  <c r="G31" i="47"/>
  <c r="G29" i="47"/>
  <c r="G14" i="47" s="1"/>
  <c r="F29" i="47"/>
  <c r="E29" i="47"/>
  <c r="D29" i="47"/>
  <c r="C29" i="47"/>
  <c r="G12" i="47"/>
  <c r="F12" i="47"/>
  <c r="E12" i="47"/>
  <c r="D12" i="47"/>
  <c r="C12" i="47"/>
  <c r="G2" i="47"/>
  <c r="G100" i="47" s="1"/>
  <c r="G98" i="46"/>
  <c r="F98" i="46"/>
  <c r="E98" i="46"/>
  <c r="D98" i="46"/>
  <c r="C98" i="46"/>
  <c r="G88" i="46"/>
  <c r="G86" i="46"/>
  <c r="G76" i="46" s="1"/>
  <c r="F86" i="46"/>
  <c r="E86" i="46"/>
  <c r="D86" i="46"/>
  <c r="C86" i="46"/>
  <c r="G74" i="46"/>
  <c r="G64" i="46" s="1"/>
  <c r="F74" i="46"/>
  <c r="E74" i="46"/>
  <c r="D74" i="46"/>
  <c r="C74" i="46"/>
  <c r="G62" i="46"/>
  <c r="G55" i="46" s="1"/>
  <c r="F62" i="46"/>
  <c r="E62" i="46"/>
  <c r="D62" i="46"/>
  <c r="C62" i="46"/>
  <c r="G53" i="46"/>
  <c r="F53" i="46"/>
  <c r="E53" i="46"/>
  <c r="D53" i="46"/>
  <c r="C53" i="46"/>
  <c r="G43" i="46"/>
  <c r="G41" i="46"/>
  <c r="F41" i="46"/>
  <c r="E41" i="46"/>
  <c r="D41" i="46"/>
  <c r="C41" i="46"/>
  <c r="G31" i="46"/>
  <c r="G29" i="46"/>
  <c r="G14" i="46" s="1"/>
  <c r="F29" i="46"/>
  <c r="E29" i="46"/>
  <c r="D29" i="46"/>
  <c r="C29" i="46"/>
  <c r="G12" i="46"/>
  <c r="G2" i="46" s="1"/>
  <c r="G100" i="46" s="1"/>
  <c r="F12" i="46"/>
  <c r="E12" i="46"/>
  <c r="D12" i="46"/>
  <c r="C12" i="46"/>
  <c r="J19" i="4"/>
  <c r="J18" i="4"/>
  <c r="J17" i="4"/>
  <c r="J16" i="4"/>
  <c r="J15" i="4"/>
  <c r="J14" i="4"/>
  <c r="J13" i="4"/>
  <c r="J12" i="4"/>
  <c r="J11" i="4"/>
  <c r="J10" i="4"/>
  <c r="J9" i="4"/>
  <c r="J8" i="4"/>
  <c r="R19" i="4"/>
  <c r="R18" i="4"/>
  <c r="R17" i="4"/>
  <c r="R16" i="4"/>
  <c r="R15" i="4"/>
  <c r="R14" i="4"/>
  <c r="R13" i="4"/>
  <c r="R12" i="4"/>
  <c r="R11" i="4"/>
  <c r="R10" i="4"/>
  <c r="R9" i="4"/>
  <c r="R8" i="4"/>
  <c r="G98" i="5"/>
  <c r="G88" i="5" s="1"/>
  <c r="F98" i="5"/>
  <c r="E98" i="5"/>
  <c r="D98" i="5"/>
  <c r="C98" i="5"/>
  <c r="G86" i="5"/>
  <c r="G76" i="5" s="1"/>
  <c r="F86" i="5"/>
  <c r="E86" i="5"/>
  <c r="D86" i="5"/>
  <c r="C86" i="5"/>
  <c r="G74" i="5"/>
  <c r="G64" i="5" s="1"/>
  <c r="F74" i="5"/>
  <c r="E74" i="5"/>
  <c r="D74" i="5"/>
  <c r="C74" i="5"/>
  <c r="G62" i="5"/>
  <c r="G55" i="5" s="1"/>
  <c r="F62" i="5"/>
  <c r="E62" i="5"/>
  <c r="D62" i="5"/>
  <c r="C62" i="5"/>
  <c r="G53" i="5"/>
  <c r="G43" i="5" s="1"/>
  <c r="F53" i="5"/>
  <c r="E53" i="5"/>
  <c r="D53" i="5"/>
  <c r="C53" i="5"/>
  <c r="G41" i="5"/>
  <c r="G31" i="5" s="1"/>
  <c r="F41" i="5"/>
  <c r="E41" i="5"/>
  <c r="D41" i="5"/>
  <c r="C41" i="5"/>
  <c r="G29" i="5"/>
  <c r="G14" i="5" s="1"/>
  <c r="F29" i="5"/>
  <c r="E29" i="5"/>
  <c r="D29" i="5"/>
  <c r="C29" i="5"/>
  <c r="F12" i="5"/>
  <c r="G12" i="5"/>
  <c r="G2" i="5" s="1"/>
  <c r="D12" i="5"/>
  <c r="E12" i="5"/>
  <c r="C12" i="5"/>
  <c r="G100" i="80" l="1"/>
  <c r="B19" i="44" s="1"/>
  <c r="G100" i="79"/>
  <c r="B18" i="44" s="1"/>
  <c r="G100" i="78"/>
  <c r="B17" i="44" s="1"/>
  <c r="G100" i="77"/>
  <c r="B16" i="44" s="1"/>
  <c r="G100" i="75"/>
  <c r="B14" i="44" s="1"/>
  <c r="G100" i="72"/>
  <c r="B11" i="44" s="1"/>
  <c r="G100" i="71"/>
  <c r="B10" i="44" s="1"/>
  <c r="G100" i="70"/>
  <c r="B9" i="44" s="1"/>
  <c r="G100" i="69"/>
  <c r="B8" i="44" s="1"/>
  <c r="G100" i="68"/>
  <c r="B19" i="43" s="1"/>
  <c r="G100" i="67"/>
  <c r="B18" i="43" s="1"/>
  <c r="G100" i="66"/>
  <c r="B17" i="43" s="1"/>
  <c r="G100" i="63"/>
  <c r="B14" i="43" s="1"/>
  <c r="G100" i="61"/>
  <c r="B12" i="43" s="1"/>
  <c r="G100" i="58"/>
  <c r="B9" i="43" s="1"/>
  <c r="G100" i="57"/>
  <c r="B8" i="43" s="1"/>
  <c r="G100" i="55"/>
  <c r="G100" i="54"/>
  <c r="B17" i="4" s="1"/>
  <c r="G100" i="53"/>
  <c r="B16" i="42" s="1"/>
  <c r="G100" i="52"/>
  <c r="G100" i="51"/>
  <c r="B14" i="4" s="1"/>
  <c r="G100" i="50"/>
  <c r="G100" i="49"/>
  <c r="G100" i="48"/>
  <c r="B19" i="42"/>
  <c r="B19" i="4"/>
  <c r="B16" i="4"/>
  <c r="B10" i="42"/>
  <c r="B10" i="4"/>
  <c r="G100" i="5"/>
  <c r="B8" i="4" s="1"/>
  <c r="B17" i="42" l="1"/>
  <c r="B14" i="42"/>
  <c r="B18" i="42"/>
  <c r="B18" i="4"/>
  <c r="B15" i="4"/>
  <c r="B15" i="42"/>
  <c r="B13" i="42"/>
  <c r="B13" i="4"/>
  <c r="B12" i="4"/>
  <c r="B12" i="42"/>
  <c r="B11" i="42"/>
  <c r="B11" i="4"/>
  <c r="B9" i="42"/>
  <c r="B9" i="4"/>
  <c r="B8" i="42"/>
  <c r="B20" i="43" l="1"/>
  <c r="G4" i="43" s="1"/>
  <c r="J20" i="4"/>
  <c r="O4" i="4" s="1"/>
  <c r="B20" i="44"/>
  <c r="G4" i="44" s="1"/>
  <c r="B20" i="42"/>
  <c r="B20" i="4"/>
  <c r="R20" i="4"/>
  <c r="W4" i="4" s="1"/>
  <c r="G3" i="44" l="1" a="1"/>
  <c r="G3" i="44" s="1"/>
  <c r="O3" i="4"/>
  <c r="G3" i="43" a="1"/>
  <c r="G3" i="43" s="1"/>
  <c r="G3" i="42"/>
  <c r="G4" i="42"/>
  <c r="G4" i="4"/>
  <c r="G3" i="4"/>
  <c r="W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<sst xmlns="http://schemas.openxmlformats.org/spreadsheetml/2006/main" count="3519" uniqueCount="280">
  <si>
    <r>
      <t>Parents Lead</t>
    </r>
    <r>
      <rPr>
        <sz val="12"/>
        <color rgb="FFD34727"/>
        <rFont val="Segoe UI"/>
        <family val="2"/>
      </rPr>
      <t xml:space="preserve"> </t>
    </r>
    <r>
      <rPr>
        <b/>
        <sz val="12"/>
        <color rgb="FF0E406A"/>
        <rFont val="Segoe UI"/>
        <family val="2"/>
      </rPr>
      <t>(up to $1,500/month)</t>
    </r>
    <r>
      <rPr>
        <sz val="12"/>
        <color rgb="FF000000"/>
        <rFont val="Segoe UI"/>
        <family val="2"/>
      </rPr>
      <t xml:space="preserve"> </t>
    </r>
    <r>
      <rPr>
        <sz val="12"/>
        <color rgb="FFD34727"/>
        <rFont val="Segoe UI"/>
        <family val="2"/>
      </rPr>
      <t>implementation of three required monthly activities listed in Attachment C - Parents Lead Community Toolkit. (Please note these activities cannot be counted twice or duplicated throughout the rest of the reporting form.)</t>
    </r>
  </si>
  <si>
    <t>a. Hang posters/flyers in high-traffic areas</t>
  </si>
  <si>
    <t>b. Display table tents in restaurants or other public spaces</t>
  </si>
  <si>
    <t>c. Insert information into school newsletters or church bulletins</t>
  </si>
  <si>
    <t>d. Place brochures/flyers in grocery bags</t>
  </si>
  <si>
    <t>e. Hand out stickers or flyers at school event</t>
  </si>
  <si>
    <t>f. Provide activity books for kids and resources for parents at PTA meetings</t>
  </si>
  <si>
    <t>g. Provide public and school libraries with bookmarks for children and parents</t>
  </si>
  <si>
    <t>h. Place stickers on popcorn bags at local sporting events</t>
  </si>
  <si>
    <t>i. Participate in community events, such as county fairs or other fundraisers</t>
  </si>
  <si>
    <t>j. Share Parents Lead conversation starter playing cards in waiting rooms</t>
  </si>
  <si>
    <t>k. Place coasters in local coffee shops and dining establishments</t>
  </si>
  <si>
    <t>l. Provide coffee sleeves to local coffee shops and supporting partners who serve the public</t>
  </si>
  <si>
    <t>m. Purchase billboard space</t>
  </si>
  <si>
    <t>n. Place media on radio or TV</t>
  </si>
  <si>
    <t>o. Share information on local cable access channels</t>
  </si>
  <si>
    <t>p. Utilize free PSA space at local radio stations or host a weekly radio show</t>
  </si>
  <si>
    <t>q. Submit articles or letters to the editor to the local paper</t>
  </si>
  <si>
    <t>r. Post or share information on social media</t>
  </si>
  <si>
    <t>s. Present at teacher in-services</t>
  </si>
  <si>
    <t>t. Share information during announcements at a church service</t>
  </si>
  <si>
    <t>u. Promote at community events or meetings</t>
  </si>
  <si>
    <t>v. Promote social media pages</t>
  </si>
  <si>
    <t>w. Sign up for email updates in the community section of parentslead.org and share resources with partners</t>
  </si>
  <si>
    <r>
      <t>1.</t>
    </r>
    <r>
      <rPr>
        <sz val="7"/>
        <color rgb="FFD34727"/>
        <rFont val="Times New Roman"/>
        <family val="1"/>
      </rPr>
      <t xml:space="preserve">    </t>
    </r>
    <r>
      <rPr>
        <b/>
        <u/>
        <sz val="12"/>
        <color rgb="FFD34727"/>
        <rFont val="Segoe UI"/>
        <family val="2"/>
      </rPr>
      <t>Information Dissemination</t>
    </r>
    <r>
      <rPr>
        <sz val="12"/>
        <color rgb="FFD34727"/>
        <rFont val="Segoe UI"/>
        <family val="2"/>
      </rPr>
      <t xml:space="preserve"> </t>
    </r>
    <r>
      <rPr>
        <b/>
        <sz val="12"/>
        <color rgb="FF0E406A"/>
        <rFont val="Segoe UI"/>
        <family val="2"/>
      </rPr>
      <t>(up to $3,500/month)</t>
    </r>
    <r>
      <rPr>
        <sz val="12"/>
        <color rgb="FF000000"/>
        <rFont val="Segoe UI"/>
        <family val="2"/>
      </rPr>
      <t xml:space="preserve"> </t>
    </r>
    <r>
      <rPr>
        <sz val="12"/>
        <color rgb="FFD34727"/>
        <rFont val="Segoe UI"/>
        <family val="2"/>
      </rPr>
      <t xml:space="preserve">to support your strategy and policy – educational presentations, workshops or seminars or other presentations of data (e.g., public announcements, brochures, dissemination, billboards, community meetings, forums, web-based communication). </t>
    </r>
  </si>
  <si>
    <t xml:space="preserve">a. Radio or music streaming service messages (up to $600/month) </t>
  </si>
  <si>
    <t>b. Television or visual streaming service PSAs or advertisements (up to $600/month)</t>
  </si>
  <si>
    <t xml:space="preserve">c. Printed newspaper or magazine ads (up to $600/month) </t>
  </si>
  <si>
    <t>d. Digital website or search engine ads (up to $600/month)</t>
  </si>
  <si>
    <t xml:space="preserve">e. Eight customized social media posts/month (up to $300/month) </t>
  </si>
  <si>
    <t>f. Posters hung up throughout community (up to $200/month)</t>
  </si>
  <si>
    <t xml:space="preserve">g. Flyers handed out to different locations (up to $200/month) </t>
  </si>
  <si>
    <t xml:space="preserve">h. Presentation to group (up to $400/presentation; maximum $800/month) </t>
  </si>
  <si>
    <t>i. Billboard (up to $1000/month)</t>
  </si>
  <si>
    <t xml:space="preserve">j. Handing out brochures (up to $200/month) </t>
  </si>
  <si>
    <t xml:space="preserve">k. Social media live stream (up to $300/video; maximum of $600/month) </t>
  </si>
  <si>
    <t xml:space="preserve">l. Host a Community Forum or Town Hall Meeting (up to $2,000/event; maximum $4,000/year) </t>
  </si>
  <si>
    <t xml:space="preserve">m. Host a booth at a community event (up to $200/event; maximum $400/month) </t>
  </si>
  <si>
    <t>n. Meet and share information with key stakeholders (up to $100/meeting; maximum $400/month)</t>
  </si>
  <si>
    <t xml:space="preserve">o. Attend and share information at a coalition meeting (up to $300/meeting; maximum $600/month) </t>
  </si>
  <si>
    <t>p. Lead a coalition meeting (up to $400/coalition meeting; maximum $800/month)</t>
  </si>
  <si>
    <t>q. Other (preapproved by State)</t>
  </si>
  <si>
    <r>
      <t>2.</t>
    </r>
    <r>
      <rPr>
        <sz val="7"/>
        <color rgb="FFD34727"/>
        <rFont val="Times New Roman"/>
        <family val="1"/>
      </rPr>
      <t xml:space="preserve">    </t>
    </r>
    <r>
      <rPr>
        <b/>
        <u/>
        <sz val="12"/>
        <color rgb="FFD34727"/>
        <rFont val="Segoe UI"/>
        <family val="2"/>
      </rPr>
      <t>Enhancing Capacity or Skills</t>
    </r>
    <r>
      <rPr>
        <sz val="12"/>
        <color rgb="FFD34727"/>
        <rFont val="Segoe UI"/>
        <family val="2"/>
      </rPr>
      <t xml:space="preserve"> </t>
    </r>
    <r>
      <rPr>
        <b/>
        <sz val="12"/>
        <color rgb="FF0E406A"/>
        <rFont val="Segoe UI"/>
        <family val="2"/>
      </rPr>
      <t>(up to $4,000/month)</t>
    </r>
    <r>
      <rPr>
        <sz val="12"/>
        <color rgb="FFD34727"/>
        <rFont val="Segoe UI"/>
        <family val="2"/>
      </rPr>
      <t xml:space="preserve"> to support your strategy and policy – workshops, seminars or other activities designed to increase the skills of participants, members and staff needed to achieve population level outcomes (e.g., training, technical assistance, distance learning, strategic planning retreats, curriculum development, etc). </t>
    </r>
  </si>
  <si>
    <t>a. Participate in a webinar (up to $200/webinar; maximum $400/month)</t>
  </si>
  <si>
    <t xml:space="preserve">b. Host a webinar training (up to $500/webinar; maximum of $1,000/month) </t>
  </si>
  <si>
    <t>c. Attend a conference (up to $750/day; maximum $4,500/year)</t>
  </si>
  <si>
    <t>d. Host a conference (up to $2,000/day; maximum $6,000/year)</t>
  </si>
  <si>
    <t>e. Attend a training (up to $750/day; maximum $9,000/year)</t>
  </si>
  <si>
    <t>f. Host a community training (up to $2,000/day; maximum $8,000/year)</t>
  </si>
  <si>
    <t>g. Host a stakeholder-specific training (up to $500/day; maximum $1,500/month)</t>
  </si>
  <si>
    <r>
      <t xml:space="preserve">h. Collection of data from </t>
    </r>
    <r>
      <rPr>
        <u/>
        <sz val="10"/>
        <color rgb="FF000000"/>
        <rFont val="Segoe UI"/>
        <family val="2"/>
      </rPr>
      <t>already existing</t>
    </r>
    <r>
      <rPr>
        <sz val="10"/>
        <color rgb="FF000000"/>
        <rFont val="Segoe UI"/>
        <family val="2"/>
      </rPr>
      <t xml:space="preserve"> sources related to the environmental change/strategy being implemented (up to $250/data report collected) </t>
    </r>
  </si>
  <si>
    <r>
      <t xml:space="preserve">i. Collection of </t>
    </r>
    <r>
      <rPr>
        <u/>
        <sz val="10"/>
        <color rgb="FF000000"/>
        <rFont val="Segoe UI"/>
        <family val="2"/>
      </rPr>
      <t>new data</t>
    </r>
    <r>
      <rPr>
        <sz val="10"/>
        <color rgb="FF000000"/>
        <rFont val="Segoe UI"/>
        <family val="2"/>
      </rPr>
      <t xml:space="preserve"> which will support the environmental change/strategy (up to $3,000 for collection, analysis, and report/maximum of $6,000 per year) </t>
    </r>
  </si>
  <si>
    <t xml:space="preserve">j. Evaluation Report (up to $2,000/year) </t>
  </si>
  <si>
    <t>k. Other (preapproved by State)</t>
  </si>
  <si>
    <r>
      <t>3.</t>
    </r>
    <r>
      <rPr>
        <sz val="7"/>
        <color rgb="FFD34727"/>
        <rFont val="Times New Roman"/>
        <family val="1"/>
      </rPr>
      <t xml:space="preserve">    </t>
    </r>
    <r>
      <rPr>
        <b/>
        <u/>
        <sz val="12"/>
        <color rgb="FFD34727"/>
        <rFont val="Segoe UI"/>
        <family val="2"/>
      </rPr>
      <t>Providing Support</t>
    </r>
    <r>
      <rPr>
        <sz val="12"/>
        <color rgb="FFD34727"/>
        <rFont val="Segoe UI"/>
        <family val="2"/>
      </rPr>
      <t xml:space="preserve"> </t>
    </r>
    <r>
      <rPr>
        <b/>
        <sz val="12"/>
        <color rgb="FF0E406A"/>
        <rFont val="Segoe UI"/>
        <family val="2"/>
      </rPr>
      <t>(up to $5,000/month)</t>
    </r>
    <r>
      <rPr>
        <sz val="12"/>
        <color rgb="FF000000"/>
        <rFont val="Segoe UI"/>
        <family val="2"/>
      </rPr>
      <t xml:space="preserve"> </t>
    </r>
    <r>
      <rPr>
        <sz val="12"/>
        <color rgb="FFD34727"/>
        <rFont val="Segoe UI"/>
        <family val="2"/>
      </rPr>
      <t xml:space="preserve">to help implement your strategy and policy – creating opportunities to support people to participate in activities that reduce risk or enhance protection (e.g., providing alternative activities, mentoring, referrals, support groups or clubs, etc). </t>
    </r>
  </si>
  <si>
    <r>
      <t>a.</t>
    </r>
    <r>
      <rPr>
        <sz val="7"/>
        <color rgb="FF000000"/>
        <rFont val="Times New Roman"/>
        <family val="1"/>
      </rPr>
      <t xml:space="preserve">     </t>
    </r>
    <r>
      <rPr>
        <sz val="10"/>
        <color rgb="FF000000"/>
        <rFont val="Segoe UI"/>
        <family val="2"/>
      </rPr>
      <t xml:space="preserve">Alternative activities </t>
    </r>
  </si>
  <si>
    <r>
      <t>b.</t>
    </r>
    <r>
      <rPr>
        <sz val="7"/>
        <color rgb="FF000000"/>
        <rFont val="Times New Roman"/>
        <family val="1"/>
      </rPr>
      <t xml:space="preserve">     </t>
    </r>
    <r>
      <rPr>
        <sz val="10"/>
        <color rgb="FF000000"/>
        <rFont val="Segoe UI"/>
        <family val="2"/>
      </rPr>
      <t>Evidence-based mentoring program to fidelity</t>
    </r>
  </si>
  <si>
    <r>
      <t>c.</t>
    </r>
    <r>
      <rPr>
        <sz val="7"/>
        <color rgb="FF000000"/>
        <rFont val="Times New Roman"/>
        <family val="1"/>
      </rPr>
      <t xml:space="preserve">     </t>
    </r>
    <r>
      <rPr>
        <sz val="10"/>
        <color rgb="FF000000"/>
        <rFont val="Segoe UI"/>
        <family val="2"/>
      </rPr>
      <t xml:space="preserve">Evidence-based curriculum </t>
    </r>
  </si>
  <si>
    <r>
      <t>d.</t>
    </r>
    <r>
      <rPr>
        <sz val="7"/>
        <color rgb="FF000000"/>
        <rFont val="Times New Roman"/>
        <family val="1"/>
      </rPr>
      <t xml:space="preserve">     </t>
    </r>
    <r>
      <rPr>
        <sz val="10"/>
        <color rgb="FF000000"/>
        <rFont val="Segoe UI"/>
        <family val="2"/>
      </rPr>
      <t xml:space="preserve">Implementing an evidence-based screening and brief intervention tool (up to $1,500/month/new location) </t>
    </r>
  </si>
  <si>
    <r>
      <t>b.</t>
    </r>
    <r>
      <rPr>
        <sz val="7"/>
        <color rgb="FF000000"/>
        <rFont val="Times New Roman"/>
        <family val="1"/>
      </rPr>
      <t xml:space="preserve">     </t>
    </r>
    <r>
      <rPr>
        <sz val="10"/>
        <color rgb="FF000000"/>
        <rFont val="Segoe UI"/>
        <family val="2"/>
      </rPr>
      <t>Early intervention seminar instruction (Example: DUI/MIP seminars)</t>
    </r>
  </si>
  <si>
    <r>
      <t>c.</t>
    </r>
    <r>
      <rPr>
        <sz val="7"/>
        <color rgb="FF000000"/>
        <rFont val="Times New Roman"/>
        <family val="1"/>
      </rPr>
      <t xml:space="preserve">     </t>
    </r>
    <r>
      <rPr>
        <sz val="10"/>
        <color rgb="FF000000"/>
        <rFont val="Segoe UI"/>
        <family val="2"/>
      </rPr>
      <t>Implementing parenting classes (Example: Prime for Life for Parents)</t>
    </r>
  </si>
  <si>
    <r>
      <t>e.</t>
    </r>
    <r>
      <rPr>
        <sz val="7"/>
        <color rgb="FF000000"/>
        <rFont val="Times New Roman"/>
        <family val="1"/>
      </rPr>
      <t xml:space="preserve">     </t>
    </r>
    <r>
      <rPr>
        <sz val="10"/>
        <color rgb="FF000000"/>
        <rFont val="Segoe UI"/>
        <family val="2"/>
      </rPr>
      <t>Other preapproved by State</t>
    </r>
  </si>
  <si>
    <r>
      <t>4.</t>
    </r>
    <r>
      <rPr>
        <sz val="7"/>
        <color rgb="FFD34727"/>
        <rFont val="Times New Roman"/>
        <family val="1"/>
      </rPr>
      <t xml:space="preserve">    </t>
    </r>
    <r>
      <rPr>
        <b/>
        <u/>
        <sz val="12"/>
        <color rgb="FFD34727"/>
        <rFont val="Segoe UI"/>
        <family val="2"/>
      </rPr>
      <t>Enhancing Access/Reducing Barriers</t>
    </r>
    <r>
      <rPr>
        <sz val="12"/>
        <color rgb="FFD34727"/>
        <rFont val="Segoe UI"/>
        <family val="2"/>
      </rPr>
      <t xml:space="preserve"> </t>
    </r>
    <r>
      <rPr>
        <b/>
        <sz val="12"/>
        <color rgb="FF0E406A"/>
        <rFont val="Segoe UI"/>
        <family val="2"/>
      </rPr>
      <t>(up to $1,000/month)</t>
    </r>
    <r>
      <rPr>
        <sz val="12"/>
        <color rgb="FFD34727"/>
        <rFont val="Segoe UI"/>
        <family val="2"/>
      </rPr>
      <t xml:space="preserve"> to support your strategy and policy - Improving systems and processes to increase the ease, ability and opportunity to utilize those systems and services (e.g., assuring healthcare, childcare, transportation, housing, justice, education, safety, special needs, cultural and language sensitivity, etc). </t>
    </r>
  </si>
  <si>
    <t xml:space="preserve">a. Activities implemented in this category must be preapproved by the state. Reimbursements will be provided based on activity. </t>
  </si>
  <si>
    <r>
      <t>5.</t>
    </r>
    <r>
      <rPr>
        <sz val="7"/>
        <color rgb="FFD34727"/>
        <rFont val="Times New Roman"/>
        <family val="1"/>
      </rPr>
      <t xml:space="preserve">    </t>
    </r>
    <r>
      <rPr>
        <b/>
        <u/>
        <sz val="12"/>
        <color rgb="FFD34727"/>
        <rFont val="Segoe UI"/>
        <family val="2"/>
      </rPr>
      <t>Changing Consequences</t>
    </r>
    <r>
      <rPr>
        <sz val="12"/>
        <color rgb="FFD34727"/>
        <rFont val="Segoe UI"/>
        <family val="2"/>
      </rPr>
      <t xml:space="preserve"> (Incentives/Disincentives) </t>
    </r>
    <r>
      <rPr>
        <b/>
        <sz val="12"/>
        <color rgb="FF0E406A"/>
        <rFont val="Segoe UI"/>
        <family val="2"/>
      </rPr>
      <t>(up to $3,000/month)</t>
    </r>
    <r>
      <rPr>
        <sz val="12"/>
        <color rgb="FFD34727"/>
        <rFont val="Segoe UI"/>
        <family val="2"/>
      </rPr>
      <t xml:space="preserve"> to support your strategy and policy – Increasing or decreasing the probability of a specific behavior that reduces risk or enhances protection by altering the consequences for performing that behavior (e.g., increasing public recognition for deserved behavior, individual and business rewards, revocations/loss of privileges, etc). </t>
    </r>
  </si>
  <si>
    <r>
      <t>a.</t>
    </r>
    <r>
      <rPr>
        <sz val="7"/>
        <color rgb="FF000000"/>
        <rFont val="Times New Roman"/>
        <family val="1"/>
      </rPr>
      <t xml:space="preserve">     </t>
    </r>
    <r>
      <rPr>
        <sz val="10"/>
        <color rgb="FF000000"/>
        <rFont val="Segoe UI"/>
        <family val="2"/>
      </rPr>
      <t>Incentives</t>
    </r>
  </si>
  <si>
    <r>
      <t>b.</t>
    </r>
    <r>
      <rPr>
        <sz val="7"/>
        <color rgb="FF000000"/>
        <rFont val="Times New Roman"/>
        <family val="1"/>
      </rPr>
      <t xml:space="preserve">     </t>
    </r>
    <r>
      <rPr>
        <sz val="10"/>
        <color rgb="FF000000"/>
        <rFont val="Segoe UI"/>
        <family val="2"/>
      </rPr>
      <t>Disincentives</t>
    </r>
  </si>
  <si>
    <r>
      <t>c.</t>
    </r>
    <r>
      <rPr>
        <sz val="7"/>
        <color rgb="FF000000"/>
        <rFont val="Times New Roman"/>
        <family val="1"/>
      </rPr>
      <t xml:space="preserve">      </t>
    </r>
    <r>
      <rPr>
        <sz val="10"/>
        <color rgb="FF000000"/>
        <rFont val="Segoe UI"/>
        <family val="2"/>
      </rPr>
      <t>Texting Tipline (up to $1,400/year)</t>
    </r>
  </si>
  <si>
    <r>
      <t>d.</t>
    </r>
    <r>
      <rPr>
        <sz val="7"/>
        <color rgb="FF000000"/>
        <rFont val="Times New Roman"/>
        <family val="1"/>
      </rPr>
      <t xml:space="preserve">     </t>
    </r>
    <r>
      <rPr>
        <sz val="10"/>
        <color rgb="FF000000"/>
        <rFont val="Segoe UI"/>
        <family val="2"/>
      </rPr>
      <t>Utilizing Forensic ID Scanners at a community event (up to $200/day, maximum of $1,400/month)</t>
    </r>
  </si>
  <si>
    <r>
      <t>e.</t>
    </r>
    <r>
      <rPr>
        <sz val="7"/>
        <color rgb="FF000000"/>
        <rFont val="Times New Roman"/>
        <family val="1"/>
      </rPr>
      <t xml:space="preserve">     </t>
    </r>
    <r>
      <rPr>
        <sz val="10"/>
        <color rgb="FF000000"/>
        <rFont val="Segoe UI"/>
        <family val="2"/>
      </rPr>
      <t>Utilization of Forensic ID Scanners at a retail establishment (up to $200/month per retail establishment; maximum of $1,000/month)</t>
    </r>
  </si>
  <si>
    <r>
      <t>f.</t>
    </r>
    <r>
      <rPr>
        <sz val="7"/>
        <color rgb="FF000000"/>
        <rFont val="Times New Roman"/>
        <family val="1"/>
      </rPr>
      <t xml:space="preserve">      </t>
    </r>
    <r>
      <rPr>
        <sz val="10"/>
        <color rgb="FF000000"/>
        <rFont val="Segoe UI"/>
        <family val="2"/>
      </rPr>
      <t>Other preapproved by State</t>
    </r>
  </si>
  <si>
    <r>
      <t>6.</t>
    </r>
    <r>
      <rPr>
        <sz val="7"/>
        <color rgb="FFD34727"/>
        <rFont val="Times New Roman"/>
        <family val="1"/>
      </rPr>
      <t xml:space="preserve">    </t>
    </r>
    <r>
      <rPr>
        <b/>
        <u/>
        <sz val="12"/>
        <color rgb="FFD34727"/>
        <rFont val="Segoe UI"/>
        <family val="2"/>
      </rPr>
      <t>Physical Design and Environmental Changes</t>
    </r>
    <r>
      <rPr>
        <sz val="12"/>
        <color rgb="FFD34727"/>
        <rFont val="Segoe UI"/>
        <family val="2"/>
      </rPr>
      <t xml:space="preserve"> </t>
    </r>
    <r>
      <rPr>
        <b/>
        <sz val="12"/>
        <color rgb="FF0E406A"/>
        <rFont val="Segoe UI"/>
        <family val="2"/>
      </rPr>
      <t>(up to $3,500/month)</t>
    </r>
    <r>
      <rPr>
        <sz val="12"/>
        <color rgb="FFD34727"/>
        <rFont val="Segoe UI"/>
        <family val="2"/>
      </rPr>
      <t xml:space="preserve"> to support your strategy and policy – changing the physical design or structure of the environment to reduce risk or enhance protection (e.g., parks, signage, outlet density). </t>
    </r>
  </si>
  <si>
    <r>
      <t>a.</t>
    </r>
    <r>
      <rPr>
        <sz val="7"/>
        <color rgb="FF000000"/>
        <rFont val="Times New Roman"/>
        <family val="1"/>
      </rPr>
      <t xml:space="preserve">     </t>
    </r>
    <r>
      <rPr>
        <sz val="10"/>
        <color rgb="FF000000"/>
        <rFont val="Segoe UI"/>
        <family val="2"/>
      </rPr>
      <t xml:space="preserve">Permanent or semi-permanent signs or banners (no posters or flyers) built, installed, or erected (up to $1,000/month for new signage) </t>
    </r>
  </si>
  <si>
    <r>
      <t>b.</t>
    </r>
    <r>
      <rPr>
        <sz val="7"/>
        <color rgb="FF000000"/>
        <rFont val="Times New Roman"/>
        <family val="1"/>
      </rPr>
      <t xml:space="preserve">     </t>
    </r>
    <r>
      <rPr>
        <sz val="10"/>
        <color rgb="FF000000"/>
        <rFont val="Segoe UI"/>
        <family val="2"/>
      </rPr>
      <t>Installation of security cameras as a deterrent or to increase enforcement or prosecution (up to $1,000 for each new location; maximum $2,000/month)</t>
    </r>
  </si>
  <si>
    <r>
      <t>c.</t>
    </r>
    <r>
      <rPr>
        <sz val="7"/>
        <color rgb="FF000000"/>
        <rFont val="Times New Roman"/>
        <family val="1"/>
      </rPr>
      <t xml:space="preserve">     </t>
    </r>
    <r>
      <rPr>
        <sz val="10"/>
        <color rgb="FF000000"/>
        <rFont val="Segoe UI"/>
        <family val="2"/>
      </rPr>
      <t xml:space="preserve">Reduction in retail/outlet density (up to $3,000/month) </t>
    </r>
  </si>
  <si>
    <r>
      <t>d.</t>
    </r>
    <r>
      <rPr>
        <sz val="7"/>
        <color rgb="FF000000"/>
        <rFont val="Times New Roman"/>
        <family val="1"/>
      </rPr>
      <t xml:space="preserve">     </t>
    </r>
    <r>
      <rPr>
        <sz val="10"/>
        <color rgb="FF000000"/>
        <rFont val="Segoe UI"/>
        <family val="2"/>
      </rPr>
      <t>Other preapproved by State</t>
    </r>
  </si>
  <si>
    <r>
      <t>7.</t>
    </r>
    <r>
      <rPr>
        <sz val="7"/>
        <color rgb="FFD34727"/>
        <rFont val="Times New Roman"/>
        <family val="1"/>
      </rPr>
      <t xml:space="preserve">    </t>
    </r>
    <r>
      <rPr>
        <b/>
        <u/>
        <sz val="12"/>
        <color rgb="FFD34727"/>
        <rFont val="Segoe UI"/>
        <family val="2"/>
      </rPr>
      <t>Modifying/Changing/Implementing Policies</t>
    </r>
    <r>
      <rPr>
        <sz val="12"/>
        <color rgb="FFD34727"/>
        <rFont val="Segoe UI"/>
        <family val="2"/>
      </rPr>
      <t xml:space="preserve"> – </t>
    </r>
    <r>
      <rPr>
        <b/>
        <sz val="12"/>
        <color rgb="FF0E406A"/>
        <rFont val="Segoe UI"/>
        <family val="2"/>
      </rPr>
      <t>(up to $7,000/month)</t>
    </r>
    <r>
      <rPr>
        <sz val="12"/>
        <color rgb="FFD34727"/>
        <rFont val="Segoe UI"/>
        <family val="2"/>
      </rPr>
      <t xml:space="preserve"> formal change in written procedures, by-laws, proclamations, rules or laws with written documentation and/or voting procedures (e.g., workplace initiatives, law enforcement procedures and practices, public policy actions, systems change within government, communities and organizations). </t>
    </r>
    <r>
      <rPr>
        <i/>
        <sz val="12"/>
        <color rgb="FFD34727"/>
        <rFont val="Segoe UI"/>
        <family val="2"/>
      </rPr>
      <t xml:space="preserve">*Lobbying is prohibited. </t>
    </r>
  </si>
  <si>
    <r>
      <t>a.</t>
    </r>
    <r>
      <rPr>
        <sz val="7"/>
        <color rgb="FF000000"/>
        <rFont val="Times New Roman"/>
        <family val="1"/>
      </rPr>
      <t xml:space="preserve">     </t>
    </r>
    <r>
      <rPr>
        <sz val="10"/>
        <color rgb="FF000000"/>
        <rFont val="Segoe UI"/>
        <family val="2"/>
      </rPr>
      <t>Internal policy change (up to $1,500/implementation of new policy; maximum $3,000/month)</t>
    </r>
  </si>
  <si>
    <r>
      <t>b.</t>
    </r>
    <r>
      <rPr>
        <sz val="7"/>
        <color rgb="FF000000"/>
        <rFont val="Times New Roman"/>
        <family val="1"/>
      </rPr>
      <t xml:space="preserve">     </t>
    </r>
    <r>
      <rPr>
        <sz val="10"/>
        <color rgb="FF000000"/>
        <rFont val="Segoe UI"/>
        <family val="2"/>
      </rPr>
      <t>Procedural changes (up to $1,500/implementation of new procedure; maximum $3,000/month)</t>
    </r>
  </si>
  <si>
    <r>
      <t>c.</t>
    </r>
    <r>
      <rPr>
        <sz val="7"/>
        <color rgb="FF000000"/>
        <rFont val="Times New Roman"/>
        <family val="1"/>
      </rPr>
      <t xml:space="preserve">     </t>
    </r>
    <r>
      <rPr>
        <sz val="10"/>
        <color rgb="FF000000"/>
        <rFont val="Segoe UI"/>
        <family val="2"/>
      </rPr>
      <t>System changes (up to $1,500/implementation of new change; maximum $3,000/month)</t>
    </r>
  </si>
  <si>
    <r>
      <t>d.</t>
    </r>
    <r>
      <rPr>
        <sz val="7"/>
        <color rgb="FF000000"/>
        <rFont val="Times New Roman"/>
        <family val="1"/>
      </rPr>
      <t xml:space="preserve">     </t>
    </r>
    <r>
      <rPr>
        <sz val="10"/>
        <color rgb="FF000000"/>
        <rFont val="Segoe UI"/>
        <family val="2"/>
      </rPr>
      <t>Providing support for ordinance change (up to $5,000/implementation of new ordinance; maximum $5,000/month)</t>
    </r>
  </si>
  <si>
    <t>SUPTRS Block Grant Monthly Reporting Activities</t>
  </si>
  <si>
    <t>2023-2024 Summary</t>
  </si>
  <si>
    <t>YEAR ONE AWARD</t>
  </si>
  <si>
    <t>TOTAL AWARD</t>
  </si>
  <si>
    <t>REMAINING</t>
  </si>
  <si>
    <t>Total Reimbursed</t>
  </si>
  <si>
    <t>October 2023</t>
  </si>
  <si>
    <t>November 2023</t>
  </si>
  <si>
    <t>December 2023</t>
  </si>
  <si>
    <t>January 2024</t>
  </si>
  <si>
    <t>February 2024</t>
  </si>
  <si>
    <t>March 2024</t>
  </si>
  <si>
    <t>April 2024</t>
  </si>
  <si>
    <t>May 2024</t>
  </si>
  <si>
    <t>June 2024</t>
  </si>
  <si>
    <t>July 2024</t>
  </si>
  <si>
    <t>August 2024</t>
  </si>
  <si>
    <t>September 2024</t>
  </si>
  <si>
    <t>MONTHLY REIMBURSEMENT TOTALS - YEAR ONE</t>
  </si>
  <si>
    <t>2024-2025 Summary</t>
  </si>
  <si>
    <t>YEAR TWO AWARD</t>
  </si>
  <si>
    <t>MONTHLY REIMBURSEMENT TOTALS - YEAR TWO</t>
  </si>
  <si>
    <t>October 2024</t>
  </si>
  <si>
    <t>November 2024</t>
  </si>
  <si>
    <t>December 2024</t>
  </si>
  <si>
    <t>January 2025</t>
  </si>
  <si>
    <t>February 2025</t>
  </si>
  <si>
    <t>March 2025</t>
  </si>
  <si>
    <t>April 2025</t>
  </si>
  <si>
    <t>May 2025</t>
  </si>
  <si>
    <t>June 2025</t>
  </si>
  <si>
    <t>July 2025</t>
  </si>
  <si>
    <t>August 2025</t>
  </si>
  <si>
    <t>September 2025</t>
  </si>
  <si>
    <t>2025-2026 Summary</t>
  </si>
  <si>
    <t>MONTHLY REIMBURSEMENT TOTALS - YEAR THREE</t>
  </si>
  <si>
    <t>YEAR THREE AWARD</t>
  </si>
  <si>
    <t>October 2025</t>
  </si>
  <si>
    <t>November 2025</t>
  </si>
  <si>
    <t>December 2025</t>
  </si>
  <si>
    <t>January 2026</t>
  </si>
  <si>
    <t>February 2026</t>
  </si>
  <si>
    <t>March 2026</t>
  </si>
  <si>
    <t>April 2026</t>
  </si>
  <si>
    <t>May 2026</t>
  </si>
  <si>
    <t>June 2026</t>
  </si>
  <si>
    <t>July 2026</t>
  </si>
  <si>
    <t>August 2026</t>
  </si>
  <si>
    <t>September 2026</t>
  </si>
  <si>
    <t>Total Reimbursement $1,500 per month in this category.</t>
  </si>
  <si>
    <t># of participants</t>
  </si>
  <si>
    <t>Parents Lead</t>
  </si>
  <si>
    <t>Reimbursement Amount Requested</t>
  </si>
  <si>
    <t># of hours</t>
  </si>
  <si>
    <t># of people reached</t>
  </si>
  <si>
    <t># of items handed out</t>
  </si>
  <si>
    <t>Describe the activity. What was done? What was the topic? How does this support your strategy? What was the desired outcome of this activity? Please be as descriptive/detailed as possible.</t>
  </si>
  <si>
    <t>x. Other pre-approved activity (please describe)</t>
  </si>
  <si>
    <t>Activities completed (select from the dropdown list)</t>
  </si>
  <si>
    <t>1. Information Dissemination</t>
  </si>
  <si>
    <t xml:space="preserve">Receive up to $3,500/month to support your strategy and policy – educational presentations, workshops or seminars or other presentations of data (e.g., public announcements, brochures, dissemination, billboards, community meetings, forums, web-based communication). </t>
  </si>
  <si>
    <t>Total Reimbursement $3,500 per month in this category.</t>
  </si>
  <si>
    <t>2. Enhancing Capacity or Skills</t>
  </si>
  <si>
    <t>Total Reimbursement $4,000 per month in this category.</t>
  </si>
  <si>
    <t xml:space="preserve">Receive up to $4,000 per month to support your strategy and policy – workshops, seminars or other activities designed to increase the skills of participants, members and staff needed to achieve population level outcomes (e.g., training, technical assistance, distance learning, strategic planning retreats, curriculum development, etc). </t>
  </si>
  <si>
    <t>3. Providing Support</t>
  </si>
  <si>
    <t>Total Reimbursement $5,000 per month in this category.</t>
  </si>
  <si>
    <t xml:space="preserve">Receive up to $5,000 per month to support your strategy and policy – creating opportunities to support people to participate in activities that reduce risk or enhance protection (e.g., providing alternative activities, mentoring, referrals, support groups or clubs, etc). </t>
  </si>
  <si>
    <r>
      <rPr>
        <sz val="10"/>
        <color rgb="FF000000"/>
        <rFont val="Segoe UI"/>
        <family val="2"/>
      </rPr>
      <t xml:space="preserve">          i.</t>
    </r>
    <r>
      <rPr>
        <sz val="7"/>
        <color rgb="FF000000"/>
        <rFont val="Times New Roman"/>
        <family val="1"/>
      </rPr>
      <t xml:space="preserve">    </t>
    </r>
    <r>
      <rPr>
        <sz val="10"/>
        <color rgb="FF000000"/>
        <rFont val="Segoe UI"/>
        <family val="2"/>
      </rPr>
      <t>Creation of an implementation plan (up to $500/plan)</t>
    </r>
  </si>
  <si>
    <r>
      <rPr>
        <sz val="10"/>
        <color rgb="FF000000"/>
        <rFont val="Segoe UI"/>
        <family val="2"/>
      </rPr>
      <t xml:space="preserve">          iii.</t>
    </r>
    <r>
      <rPr>
        <sz val="7"/>
        <color rgb="FF000000"/>
        <rFont val="Times New Roman"/>
        <family val="1"/>
      </rPr>
      <t xml:space="preserve">    </t>
    </r>
    <r>
      <rPr>
        <sz val="10"/>
        <color rgb="FF000000"/>
        <rFont val="Segoe UI"/>
        <family val="2"/>
      </rPr>
      <t>Implementation of alternative event (up to $1,000/activity; maximum of $2,000/month)</t>
    </r>
  </si>
  <si>
    <r>
      <rPr>
        <sz val="10"/>
        <color rgb="FF000000"/>
        <rFont val="Segoe UI"/>
        <family val="2"/>
      </rPr>
      <t xml:space="preserve">          ii.</t>
    </r>
    <r>
      <rPr>
        <sz val="7"/>
        <color rgb="FF000000"/>
        <rFont val="Times New Roman"/>
        <family val="1"/>
      </rPr>
      <t xml:space="preserve">    </t>
    </r>
    <r>
      <rPr>
        <sz val="10"/>
        <color rgb="FF000000"/>
        <rFont val="Segoe UI"/>
        <family val="2"/>
      </rPr>
      <t xml:space="preserve">Promotion of event (up to $1,000/event; maximum $2,000/month) </t>
    </r>
  </si>
  <si>
    <r>
      <rPr>
        <sz val="10"/>
        <color rgb="FF000000"/>
        <rFont val="Segoe UI"/>
        <family val="2"/>
      </rPr>
      <t xml:space="preserve">          ii.</t>
    </r>
    <r>
      <rPr>
        <sz val="7"/>
        <color rgb="FF000000"/>
        <rFont val="Times New Roman"/>
        <family val="1"/>
      </rPr>
      <t xml:space="preserve">    </t>
    </r>
    <r>
      <rPr>
        <sz val="10"/>
        <color rgb="FF000000"/>
        <rFont val="Segoe UI"/>
        <family val="2"/>
      </rPr>
      <t xml:space="preserve">Program training for staff (up to $5,000/person) </t>
    </r>
  </si>
  <si>
    <r>
      <rPr>
        <sz val="10"/>
        <color rgb="FF000000"/>
        <rFont val="Segoe UI"/>
        <family val="2"/>
      </rPr>
      <t xml:space="preserve">          iii.</t>
    </r>
    <r>
      <rPr>
        <sz val="7"/>
        <color rgb="FF000000"/>
        <rFont val="Times New Roman"/>
        <family val="1"/>
      </rPr>
      <t xml:space="preserve">    </t>
    </r>
    <r>
      <rPr>
        <sz val="10"/>
        <color rgb="FF000000"/>
        <rFont val="Segoe UI"/>
        <family val="2"/>
      </rPr>
      <t xml:space="preserve">Promotion of program (up to $1,000/program; maximum $2,000/month) </t>
    </r>
  </si>
  <si>
    <r>
      <rPr>
        <sz val="10"/>
        <color rgb="FF000000"/>
        <rFont val="Segoe UI"/>
        <family val="2"/>
      </rPr>
      <t xml:space="preserve">          iv.</t>
    </r>
    <r>
      <rPr>
        <sz val="7"/>
        <color rgb="FF000000"/>
        <rFont val="Times New Roman"/>
        <family val="1"/>
      </rPr>
      <t xml:space="preserve">    </t>
    </r>
    <r>
      <rPr>
        <sz val="10"/>
        <color rgb="FF000000"/>
        <rFont val="Segoe UI"/>
        <family val="2"/>
      </rPr>
      <t>Implementation of program (up to $2,000/program; maximum of $4,000/month)</t>
    </r>
  </si>
  <si>
    <r>
      <rPr>
        <sz val="10"/>
        <color rgb="FF000000"/>
        <rFont val="Segoe UI"/>
        <family val="2"/>
      </rPr>
      <t xml:space="preserve">          ii.</t>
    </r>
    <r>
      <rPr>
        <sz val="7"/>
        <color rgb="FF000000"/>
        <rFont val="Times New Roman"/>
        <family val="1"/>
      </rPr>
      <t xml:space="preserve">    </t>
    </r>
    <r>
      <rPr>
        <sz val="10"/>
        <color rgb="FF000000"/>
        <rFont val="Segoe UI"/>
        <family val="2"/>
      </rPr>
      <t>Curriculum training for staff (up to $5,000/person)</t>
    </r>
  </si>
  <si>
    <r>
      <rPr>
        <sz val="10"/>
        <color rgb="FF000000"/>
        <rFont val="Segoe UI"/>
        <family val="2"/>
      </rPr>
      <t xml:space="preserve">          iii.</t>
    </r>
    <r>
      <rPr>
        <sz val="7"/>
        <color rgb="FF000000"/>
        <rFont val="Times New Roman"/>
        <family val="1"/>
      </rPr>
      <t xml:space="preserve">    </t>
    </r>
    <r>
      <rPr>
        <sz val="10"/>
        <color rgb="FF000000"/>
        <rFont val="Segoe UI"/>
        <family val="2"/>
      </rPr>
      <t xml:space="preserve">Promotion of curriculum (up to $1,000/curriculum; maximum $2,000/month) </t>
    </r>
  </si>
  <si>
    <r>
      <rPr>
        <sz val="10"/>
        <color rgb="FF000000"/>
        <rFont val="Segoe UI"/>
        <family val="2"/>
      </rPr>
      <t xml:space="preserve">          iv.</t>
    </r>
    <r>
      <rPr>
        <sz val="7"/>
        <color rgb="FF000000"/>
        <rFont val="Times New Roman"/>
        <family val="1"/>
      </rPr>
      <t xml:space="preserve">    </t>
    </r>
    <r>
      <rPr>
        <sz val="10"/>
        <color rgb="FF000000"/>
        <rFont val="Segoe UI"/>
        <family val="2"/>
      </rPr>
      <t>Implementation of curriculum (up to $2,000/curriculum; maximum of $4,000/month)</t>
    </r>
  </si>
  <si>
    <r>
      <rPr>
        <sz val="10"/>
        <color rgb="FF000000"/>
        <rFont val="Segoe UI"/>
        <family val="2"/>
      </rPr>
      <t xml:space="preserve">          i.</t>
    </r>
    <r>
      <rPr>
        <sz val="7"/>
        <color rgb="FF000000"/>
        <rFont val="Times New Roman"/>
        <family val="1"/>
      </rPr>
      <t xml:space="preserve">    </t>
    </r>
    <r>
      <rPr>
        <sz val="10"/>
        <color rgb="FF000000"/>
        <rFont val="Segoe UI"/>
        <family val="2"/>
      </rPr>
      <t>Promotion of new screening tool (up to $900/month)</t>
    </r>
  </si>
  <si>
    <r>
      <rPr>
        <sz val="10"/>
        <color rgb="FF000000"/>
        <rFont val="Segoe UI"/>
        <family val="2"/>
      </rPr>
      <t xml:space="preserve">          i.</t>
    </r>
    <r>
      <rPr>
        <sz val="7"/>
        <color rgb="FF000000"/>
        <rFont val="Times New Roman"/>
        <family val="1"/>
      </rPr>
      <t xml:space="preserve">    </t>
    </r>
    <r>
      <rPr>
        <sz val="10"/>
        <color rgb="FF000000"/>
        <rFont val="Segoe UI"/>
        <family val="2"/>
      </rPr>
      <t>Completion of early intervention instructor training &amp; certification (up to $2,500/person)</t>
    </r>
  </si>
  <si>
    <r>
      <rPr>
        <sz val="10"/>
        <color rgb="FF000000"/>
        <rFont val="Segoe UI"/>
        <family val="2"/>
      </rPr>
      <t xml:space="preserve">          ii.</t>
    </r>
    <r>
      <rPr>
        <sz val="7"/>
        <color rgb="FF000000"/>
        <rFont val="Times New Roman"/>
        <family val="1"/>
      </rPr>
      <t xml:space="preserve">    </t>
    </r>
    <r>
      <rPr>
        <sz val="10"/>
        <color rgb="FF000000"/>
        <rFont val="Segoe UI"/>
        <family val="2"/>
      </rPr>
      <t>Promotion of early intervention seminars (up to $1,000/month)</t>
    </r>
  </si>
  <si>
    <r>
      <rPr>
        <sz val="10"/>
        <color rgb="FF000000"/>
        <rFont val="Segoe UI"/>
        <family val="2"/>
      </rPr>
      <t xml:space="preserve">          i.</t>
    </r>
    <r>
      <rPr>
        <sz val="7"/>
        <color rgb="FF000000"/>
        <rFont val="Times New Roman"/>
        <family val="1"/>
      </rPr>
      <t xml:space="preserve">    </t>
    </r>
    <r>
      <rPr>
        <sz val="10"/>
        <color rgb="FF000000"/>
        <rFont val="Segoe UI"/>
        <family val="2"/>
      </rPr>
      <t>Completion of instructor training (up to $2,500/person)</t>
    </r>
  </si>
  <si>
    <r>
      <rPr>
        <sz val="10"/>
        <color rgb="FF000000"/>
        <rFont val="Segoe UI"/>
        <family val="2"/>
      </rPr>
      <t xml:space="preserve">          ii.</t>
    </r>
    <r>
      <rPr>
        <sz val="7"/>
        <color rgb="FF000000"/>
        <rFont val="Times New Roman"/>
        <family val="1"/>
      </rPr>
      <t xml:space="preserve">    </t>
    </r>
    <r>
      <rPr>
        <sz val="10"/>
        <color rgb="FF000000"/>
        <rFont val="Segoe UI"/>
        <family val="2"/>
      </rPr>
      <t>Promotion of parenting classes (up to $1,000/month)</t>
    </r>
  </si>
  <si>
    <r>
      <rPr>
        <sz val="10"/>
        <color rgb="FF000000"/>
        <rFont val="Segoe UI"/>
        <family val="2"/>
      </rPr>
      <t xml:space="preserve">          i.</t>
    </r>
    <r>
      <rPr>
        <sz val="7"/>
        <color rgb="FF000000"/>
        <rFont val="Times New Roman"/>
        <family val="1"/>
      </rPr>
      <t xml:space="preserve">    </t>
    </r>
    <r>
      <rPr>
        <sz val="10"/>
        <color rgb="FF000000"/>
        <rFont val="Segoe UI"/>
        <family val="2"/>
      </rPr>
      <t>Press release of congratulations (up to $500/month)</t>
    </r>
  </si>
  <si>
    <r>
      <rPr>
        <sz val="10"/>
        <color rgb="FF000000"/>
        <rFont val="Segoe UI"/>
        <family val="2"/>
      </rPr>
      <t xml:space="preserve">          ii.</t>
    </r>
    <r>
      <rPr>
        <sz val="7"/>
        <color rgb="FF000000"/>
        <rFont val="Times New Roman"/>
        <family val="1"/>
      </rPr>
      <t xml:space="preserve">    </t>
    </r>
    <r>
      <rPr>
        <sz val="10"/>
        <color rgb="FF000000"/>
        <rFont val="Segoe UI"/>
        <family val="2"/>
      </rPr>
      <t xml:space="preserve">Award or certificate for doing the right thing (up to $1,000/month) </t>
    </r>
  </si>
  <si>
    <r>
      <rPr>
        <sz val="10"/>
        <color rgb="FF000000"/>
        <rFont val="Segoe UI"/>
        <family val="2"/>
      </rPr>
      <t xml:space="preserve">          iii.</t>
    </r>
    <r>
      <rPr>
        <sz val="7"/>
        <color rgb="FF000000"/>
        <rFont val="Times New Roman"/>
        <family val="1"/>
      </rPr>
      <t xml:space="preserve">    </t>
    </r>
    <r>
      <rPr>
        <sz val="10"/>
        <color rgb="FF000000"/>
        <rFont val="Segoe UI"/>
        <family val="2"/>
      </rPr>
      <t>Awards ceremony (up to $3,000/event/year)</t>
    </r>
  </si>
  <si>
    <r>
      <rPr>
        <sz val="10"/>
        <color rgb="FF000000"/>
        <rFont val="Segoe UI"/>
        <family val="2"/>
      </rPr>
      <t xml:space="preserve">          i.</t>
    </r>
    <r>
      <rPr>
        <sz val="7"/>
        <color rgb="FF000000"/>
        <rFont val="Times New Roman"/>
        <family val="1"/>
      </rPr>
      <t xml:space="preserve">    </t>
    </r>
    <r>
      <rPr>
        <sz val="10"/>
        <color rgb="FF000000"/>
        <rFont val="Segoe UI"/>
        <family val="2"/>
      </rPr>
      <t xml:space="preserve">Press release explaining what is expected (up to $500/release/month) </t>
    </r>
  </si>
  <si>
    <r>
      <rPr>
        <sz val="10"/>
        <color rgb="FF000000"/>
        <rFont val="Segoe UI"/>
        <family val="2"/>
      </rPr>
      <t xml:space="preserve">          ii.</t>
    </r>
    <r>
      <rPr>
        <sz val="7"/>
        <color rgb="FF000000"/>
        <rFont val="Times New Roman"/>
        <family val="1"/>
      </rPr>
      <t xml:space="preserve">    </t>
    </r>
    <r>
      <rPr>
        <sz val="10"/>
        <color rgb="FF000000"/>
        <rFont val="Segoe UI"/>
        <family val="2"/>
      </rPr>
      <t>Letters explaining what is expected (up to $500/month)</t>
    </r>
  </si>
  <si>
    <r>
      <rPr>
        <sz val="10"/>
        <color rgb="FF000000"/>
        <rFont val="Segoe UI"/>
        <family val="2"/>
      </rPr>
      <t xml:space="preserve">          i.</t>
    </r>
    <r>
      <rPr>
        <sz val="7"/>
        <color rgb="FF000000"/>
        <rFont val="Times New Roman"/>
        <family val="1"/>
      </rPr>
      <t xml:space="preserve">    </t>
    </r>
    <r>
      <rPr>
        <sz val="10"/>
        <color rgb="FF000000"/>
        <rFont val="Segoe UI"/>
        <family val="2"/>
      </rPr>
      <t>Example: permanent signage in parks/fair grounds</t>
    </r>
  </si>
  <si>
    <r>
      <rPr>
        <sz val="10"/>
        <color rgb="FF000000"/>
        <rFont val="Segoe UI"/>
        <family val="2"/>
      </rPr>
      <t xml:space="preserve">          ii.</t>
    </r>
    <r>
      <rPr>
        <sz val="7"/>
        <color rgb="FF000000"/>
        <rFont val="Times New Roman"/>
        <family val="1"/>
      </rPr>
      <t xml:space="preserve">    </t>
    </r>
    <r>
      <rPr>
        <sz val="10"/>
        <color rgb="FF000000"/>
        <rFont val="Segoe UI"/>
        <family val="2"/>
      </rPr>
      <t>Example: permanent signage in buildings</t>
    </r>
  </si>
  <si>
    <r>
      <rPr>
        <sz val="10"/>
        <color rgb="FF000000"/>
        <rFont val="Segoe UI"/>
        <family val="2"/>
      </rPr>
      <t xml:space="preserve">          iii.</t>
    </r>
    <r>
      <rPr>
        <sz val="7"/>
        <color rgb="FF000000"/>
        <rFont val="Times New Roman"/>
        <family val="1"/>
      </rPr>
      <t xml:space="preserve">    </t>
    </r>
    <r>
      <rPr>
        <sz val="10"/>
        <color rgb="FF000000"/>
        <rFont val="Segoe UI"/>
        <family val="2"/>
      </rPr>
      <t xml:space="preserve">Example: metal signage for community events </t>
    </r>
  </si>
  <si>
    <r>
      <rPr>
        <sz val="10"/>
        <color rgb="FF000000"/>
        <rFont val="Segoe UI"/>
        <family val="2"/>
      </rPr>
      <t xml:space="preserve">          i.</t>
    </r>
    <r>
      <rPr>
        <sz val="7"/>
        <color rgb="FF000000"/>
        <rFont val="Times New Roman"/>
        <family val="1"/>
      </rPr>
      <t xml:space="preserve">    </t>
    </r>
    <r>
      <rPr>
        <sz val="10"/>
        <color rgb="FF000000"/>
        <rFont val="Segoe UI"/>
        <family val="2"/>
      </rPr>
      <t>Example: School policy to require evidence-based screening tool to be used.</t>
    </r>
  </si>
  <si>
    <r>
      <rPr>
        <sz val="10"/>
        <color rgb="FF000000"/>
        <rFont val="Segoe UI"/>
        <family val="2"/>
      </rPr>
      <t xml:space="preserve">          ii.</t>
    </r>
    <r>
      <rPr>
        <sz val="7"/>
        <color rgb="FF000000"/>
        <rFont val="Times New Roman"/>
        <family val="1"/>
      </rPr>
      <t xml:space="preserve">    </t>
    </r>
    <r>
      <rPr>
        <sz val="10"/>
        <color rgb="FF000000"/>
        <rFont val="Segoe UI"/>
        <family val="2"/>
      </rPr>
      <t xml:space="preserve">Example: Medical provider/hospital implements new screening tool. </t>
    </r>
  </si>
  <si>
    <r>
      <rPr>
        <sz val="10"/>
        <color rgb="FF000000"/>
        <rFont val="Segoe UI"/>
        <family val="2"/>
      </rPr>
      <t xml:space="preserve">          i.</t>
    </r>
    <r>
      <rPr>
        <sz val="7"/>
        <color rgb="FF000000"/>
        <rFont val="Times New Roman"/>
        <family val="1"/>
      </rPr>
      <t xml:space="preserve">    </t>
    </r>
    <r>
      <rPr>
        <sz val="10"/>
        <color rgb="FF000000"/>
        <rFont val="Segoe UI"/>
        <family val="2"/>
      </rPr>
      <t>Example: Law enforcement implements new procedure for conducting bar-walkthroughs looking for over-intoxication or fake IDs.</t>
    </r>
  </si>
  <si>
    <r>
      <rPr>
        <sz val="10"/>
        <color rgb="FF000000"/>
        <rFont val="Segoe UI"/>
        <family val="2"/>
      </rPr>
      <t xml:space="preserve">          i.</t>
    </r>
    <r>
      <rPr>
        <sz val="7"/>
        <color rgb="FF000000"/>
        <rFont val="Times New Roman"/>
        <family val="1"/>
      </rPr>
      <t xml:space="preserve">    </t>
    </r>
    <r>
      <rPr>
        <sz val="10"/>
        <color rgb="FF000000"/>
        <rFont val="Segoe UI"/>
        <family val="2"/>
      </rPr>
      <t>Example: New requirements for obtaining a liquor license (police approval, three strike rule, etc.)</t>
    </r>
  </si>
  <si>
    <r>
      <rPr>
        <sz val="10"/>
        <color rgb="FF000000"/>
        <rFont val="Segoe UI"/>
        <family val="2"/>
      </rPr>
      <t xml:space="preserve">          ii.</t>
    </r>
    <r>
      <rPr>
        <sz val="7"/>
        <color rgb="FF000000"/>
        <rFont val="Times New Roman"/>
        <family val="1"/>
      </rPr>
      <t xml:space="preserve">    </t>
    </r>
    <r>
      <rPr>
        <sz val="10"/>
        <color rgb="FF000000"/>
        <rFont val="Segoe UI"/>
        <family val="2"/>
      </rPr>
      <t>Example: New requirements for community events (roped off areas, security, drink sizes, family sections, alcohol-free, etc.)</t>
    </r>
  </si>
  <si>
    <r>
      <rPr>
        <sz val="10"/>
        <color rgb="FF000000"/>
        <rFont val="Segoe UI"/>
        <family val="2"/>
      </rPr>
      <t xml:space="preserve">          iii.</t>
    </r>
    <r>
      <rPr>
        <sz val="7"/>
        <color rgb="FF000000"/>
        <rFont val="Times New Roman"/>
        <family val="1"/>
      </rPr>
      <t xml:space="preserve">    </t>
    </r>
    <r>
      <rPr>
        <sz val="10"/>
        <color rgb="FF000000"/>
        <rFont val="Segoe UI"/>
        <family val="2"/>
      </rPr>
      <t>Example: New restrictions/notifications for DUIs.</t>
    </r>
  </si>
  <si>
    <r>
      <rPr>
        <sz val="10"/>
        <color rgb="FF000000"/>
        <rFont val="Segoe UI"/>
        <family val="2"/>
      </rPr>
      <t xml:space="preserve">          iv.</t>
    </r>
    <r>
      <rPr>
        <sz val="7"/>
        <color rgb="FF000000"/>
        <rFont val="Times New Roman"/>
        <family val="1"/>
      </rPr>
      <t xml:space="preserve">    </t>
    </r>
    <r>
      <rPr>
        <sz val="10"/>
        <color rgb="FF000000"/>
        <rFont val="Segoe UI"/>
        <family val="2"/>
      </rPr>
      <t xml:space="preserve">Example: Court requires community service or participation in an evidence-based class. </t>
    </r>
  </si>
  <si>
    <r>
      <rPr>
        <sz val="10"/>
        <color rgb="FF000000"/>
        <rFont val="Segoe UI"/>
        <family val="2"/>
      </rPr>
      <t xml:space="preserve">          i.</t>
    </r>
    <r>
      <rPr>
        <sz val="7"/>
        <color rgb="FF000000"/>
        <rFont val="Times New Roman"/>
        <family val="1"/>
      </rPr>
      <t xml:space="preserve">    </t>
    </r>
    <r>
      <rPr>
        <sz val="10"/>
        <color rgb="FF000000"/>
        <rFont val="Segoe UI"/>
        <family val="2"/>
      </rPr>
      <t>Example: Ordinance requiring Alcohol Server Training.</t>
    </r>
  </si>
  <si>
    <r>
      <rPr>
        <sz val="10"/>
        <color rgb="FF000000"/>
        <rFont val="Segoe UI"/>
        <family val="2"/>
      </rPr>
      <t xml:space="preserve">          ii.</t>
    </r>
    <r>
      <rPr>
        <sz val="7"/>
        <color rgb="FF000000"/>
        <rFont val="Times New Roman"/>
        <family val="1"/>
      </rPr>
      <t xml:space="preserve">    </t>
    </r>
    <r>
      <rPr>
        <sz val="10"/>
        <color rgb="FF000000"/>
        <rFont val="Segoe UI"/>
        <family val="2"/>
      </rPr>
      <t>Example: Ordinance requiring alcohol-free community events.</t>
    </r>
  </si>
  <si>
    <r>
      <rPr>
        <sz val="10"/>
        <color rgb="FF000000"/>
        <rFont val="Segoe UI"/>
        <family val="2"/>
      </rPr>
      <t xml:space="preserve">          iii.</t>
    </r>
    <r>
      <rPr>
        <sz val="7"/>
        <color rgb="FF000000"/>
        <rFont val="Times New Roman"/>
        <family val="1"/>
      </rPr>
      <t xml:space="preserve">    </t>
    </r>
    <r>
      <rPr>
        <sz val="10"/>
        <color rgb="FF000000"/>
        <rFont val="Segoe UI"/>
        <family val="2"/>
      </rPr>
      <t>Example: Ordinance requiring stricter penalties for alcohol possession, delivery, etc.</t>
    </r>
  </si>
  <si>
    <t>4. Enhancing Access/Reducing Barriers</t>
  </si>
  <si>
    <t>Total Reimbursement $1,000 per month in this category.</t>
  </si>
  <si>
    <t xml:space="preserve">Receive up to $1,000 per month to support your strategy and policy - Improving systems and processes to increase the ease, ability and opportunity to utilize those systems and services (e.g., assuring healthcare, childcare, transportation, housing, justice, education, safety, special needs, cultural and language sensitivity, etc). </t>
  </si>
  <si>
    <t>Total Reimbursement $3,000 per month in this category.</t>
  </si>
  <si>
    <t xml:space="preserve">Receive up to $3,000 per month to support your strategy and policy – Increasing or decreasing the probability of a specific behavior that reduces risk or enhances protection by altering the consequences for performing that behavior (e.g., increasing public recognition for deserved behavior, individual and business rewards, revocations/loss of privileges, etc). </t>
  </si>
  <si>
    <r>
      <t xml:space="preserve">5. Changing Consequences - </t>
    </r>
    <r>
      <rPr>
        <i/>
        <sz val="18"/>
        <color theme="0"/>
        <rFont val="Segoe UI"/>
        <family val="2"/>
      </rPr>
      <t>(Incentives/Discentives)</t>
    </r>
  </si>
  <si>
    <t>6. Physical Design and Environmental Changes</t>
  </si>
  <si>
    <t>Receive up to $3,500 per month to support your strategy and policy – changing the physical design or structure of the environment to reduce risk or enhance protection (e.g., parks, signage, outlet density).</t>
  </si>
  <si>
    <t>7. Modifying/Changing/Implementing Policies</t>
  </si>
  <si>
    <t>Total Reimbursement $7,000 per month in this category.</t>
  </si>
  <si>
    <t xml:space="preserve">Receive up to $7,000 per month for formal change in written procedures, by-laws, proclamations, rules or laws with written documentation and/or voting procedures (e.g., workplace initiatives, law enforcement procedures and practices, public policy actions, systems change within government, communities and organizations). *Lobbying is prohibited. </t>
  </si>
  <si>
    <t>Total Reimbursement Amount Requested</t>
  </si>
  <si>
    <t>TOTAL REMAINING</t>
  </si>
  <si>
    <t>YEAR ONE REMAINING</t>
  </si>
  <si>
    <t>YEAR TWO REMAINING</t>
  </si>
  <si>
    <t>YEAR THREE REMAINING</t>
  </si>
  <si>
    <t>`</t>
  </si>
  <si>
    <t>SUPTRS Block Grant CSAP Codes</t>
  </si>
  <si>
    <r>
      <t>Information Dissemination</t>
    </r>
    <r>
      <rPr>
        <sz val="12"/>
        <color rgb="FFD34727"/>
        <rFont val="Segoe UI"/>
        <family val="2"/>
      </rPr>
      <t xml:space="preserve"> </t>
    </r>
    <r>
      <rPr>
        <b/>
        <sz val="12"/>
        <color rgb="FF0E406A"/>
        <rFont val="Segoe UI"/>
        <family val="2"/>
      </rPr>
      <t>(single event, one-way communication, general prevention topics)</t>
    </r>
    <r>
      <rPr>
        <sz val="12"/>
        <color rgb="FFD34727"/>
        <rFont val="Segoe UI"/>
        <family val="2"/>
      </rPr>
      <t xml:space="preserve"> </t>
    </r>
  </si>
  <si>
    <r>
      <t>01.</t>
    </r>
    <r>
      <rPr>
        <sz val="7"/>
        <color theme="1"/>
        <rFont val="Times New Roman"/>
        <family val="1"/>
      </rPr>
      <t xml:space="preserve"> </t>
    </r>
    <r>
      <rPr>
        <sz val="12"/>
        <color theme="1"/>
        <rFont val="Segoe UI"/>
        <family val="2"/>
      </rPr>
      <t>Clearinghouse/information resource centers</t>
    </r>
  </si>
  <si>
    <r>
      <t>02.</t>
    </r>
    <r>
      <rPr>
        <sz val="7"/>
        <color theme="1"/>
        <rFont val="Times New Roman"/>
        <family val="1"/>
      </rPr>
      <t xml:space="preserve"> </t>
    </r>
    <r>
      <rPr>
        <sz val="12"/>
        <color theme="1"/>
        <rFont val="Segoe UI"/>
        <family val="2"/>
      </rPr>
      <t>Resource directories</t>
    </r>
  </si>
  <si>
    <r>
      <t>04.</t>
    </r>
    <r>
      <rPr>
        <sz val="7"/>
        <color theme="1"/>
        <rFont val="Times New Roman"/>
        <family val="1"/>
      </rPr>
      <t xml:space="preserve"> </t>
    </r>
    <r>
      <rPr>
        <sz val="12"/>
        <color theme="1"/>
        <rFont val="Segoe UI"/>
        <family val="2"/>
      </rPr>
      <t xml:space="preserve">Brochures – </t>
    </r>
    <r>
      <rPr>
        <i/>
        <sz val="12"/>
        <color theme="1"/>
        <rFont val="Segoe UI"/>
        <family val="2"/>
      </rPr>
      <t>*all brochures which are not captured in Environmental</t>
    </r>
    <r>
      <rPr>
        <sz val="12"/>
        <color theme="1"/>
        <rFont val="Segoe UI"/>
        <family val="2"/>
      </rPr>
      <t xml:space="preserve"> </t>
    </r>
  </si>
  <si>
    <r>
      <t>05.</t>
    </r>
    <r>
      <rPr>
        <sz val="7"/>
        <color theme="1"/>
        <rFont val="Times New Roman"/>
        <family val="1"/>
      </rPr>
      <t xml:space="preserve"> </t>
    </r>
    <r>
      <rPr>
        <sz val="12"/>
        <color theme="1"/>
        <rFont val="Segoe UI"/>
        <family val="2"/>
      </rPr>
      <t xml:space="preserve">Radio and TV PSAs - </t>
    </r>
    <r>
      <rPr>
        <i/>
        <sz val="12"/>
        <color theme="1"/>
        <rFont val="Segoe UI"/>
        <family val="2"/>
      </rPr>
      <t>*all radio and TV which is not captured in Environmental</t>
    </r>
  </si>
  <si>
    <r>
      <t>06.</t>
    </r>
    <r>
      <rPr>
        <sz val="7"/>
        <color theme="1"/>
        <rFont val="Times New Roman"/>
        <family val="1"/>
      </rPr>
      <t xml:space="preserve"> </t>
    </r>
    <r>
      <rPr>
        <sz val="12"/>
        <color theme="1"/>
        <rFont val="Segoe UI"/>
        <family val="2"/>
      </rPr>
      <t xml:space="preserve">Speaking engagements – </t>
    </r>
    <r>
      <rPr>
        <i/>
        <sz val="12"/>
        <color theme="1"/>
        <rFont val="Segoe UI"/>
        <family val="2"/>
      </rPr>
      <t>presentations</t>
    </r>
  </si>
  <si>
    <r>
      <t>07.</t>
    </r>
    <r>
      <rPr>
        <sz val="7"/>
        <color theme="1"/>
        <rFont val="Times New Roman"/>
        <family val="1"/>
      </rPr>
      <t xml:space="preserve"> </t>
    </r>
    <r>
      <rPr>
        <sz val="12"/>
        <color theme="1"/>
        <rFont val="Segoe UI"/>
        <family val="2"/>
      </rPr>
      <t xml:space="preserve">Health fairs and other health promotion – </t>
    </r>
    <r>
      <rPr>
        <i/>
        <sz val="12"/>
        <color theme="1"/>
        <rFont val="Segoe UI"/>
        <family val="2"/>
      </rPr>
      <t>booth at community events, newsletters, attending webinars, etc.</t>
    </r>
  </si>
  <si>
    <r>
      <t>08.</t>
    </r>
    <r>
      <rPr>
        <sz val="7"/>
        <color theme="1"/>
        <rFont val="Times New Roman"/>
        <family val="1"/>
      </rPr>
      <t xml:space="preserve"> </t>
    </r>
    <r>
      <rPr>
        <sz val="12"/>
        <color theme="1"/>
        <rFont val="Segoe UI"/>
        <family val="2"/>
      </rPr>
      <t xml:space="preserve">Information </t>
    </r>
    <r>
      <rPr>
        <sz val="12"/>
        <color rgb="FF000000"/>
        <rFont val="Segoe UI"/>
        <family val="2"/>
      </rPr>
      <t>lines/Hot lines</t>
    </r>
  </si>
  <si>
    <r>
      <t>09.</t>
    </r>
    <r>
      <rPr>
        <sz val="7"/>
        <color rgb="FF000000"/>
        <rFont val="Times New Roman"/>
        <family val="1"/>
      </rPr>
      <t xml:space="preserve"> </t>
    </r>
    <r>
      <rPr>
        <sz val="12"/>
        <color theme="1"/>
        <rFont val="Segoe UI"/>
        <family val="2"/>
      </rPr>
      <t>E</t>
    </r>
    <r>
      <rPr>
        <sz val="12"/>
        <color rgb="FF000000"/>
        <rFont val="Segoe UI"/>
        <family val="2"/>
      </rPr>
      <t>mail trees, newsletters, newspapers, press releases</t>
    </r>
  </si>
  <si>
    <r>
      <t>Education</t>
    </r>
    <r>
      <rPr>
        <sz val="12"/>
        <color rgb="FFD34727"/>
        <rFont val="Segoe UI"/>
        <family val="2"/>
      </rPr>
      <t xml:space="preserve"> </t>
    </r>
    <r>
      <rPr>
        <b/>
        <sz val="12"/>
        <color rgb="FF0E406A"/>
        <rFont val="Segoe UI"/>
        <family val="2"/>
      </rPr>
      <t>(ongoing, two-way communication)</t>
    </r>
  </si>
  <si>
    <r>
      <t>11.</t>
    </r>
    <r>
      <rPr>
        <sz val="7"/>
        <color rgb="FF000000"/>
        <rFont val="Times New Roman"/>
        <family val="1"/>
      </rPr>
      <t xml:space="preserve"> </t>
    </r>
    <r>
      <rPr>
        <sz val="12"/>
        <color rgb="FF000000"/>
        <rFont val="Segoe UI"/>
        <family val="2"/>
      </rPr>
      <t>Parenting and family management</t>
    </r>
  </si>
  <si>
    <r>
      <t>13.</t>
    </r>
    <r>
      <rPr>
        <sz val="7"/>
        <color rgb="FF000000"/>
        <rFont val="Times New Roman"/>
        <family val="1"/>
      </rPr>
      <t xml:space="preserve"> </t>
    </r>
    <r>
      <rPr>
        <sz val="12"/>
        <color rgb="FF000000"/>
        <rFont val="Segoe UI"/>
        <family val="2"/>
      </rPr>
      <t>Peer leader/helper programs</t>
    </r>
  </si>
  <si>
    <r>
      <t>14.</t>
    </r>
    <r>
      <rPr>
        <sz val="7"/>
        <color rgb="FF000000"/>
        <rFont val="Times New Roman"/>
        <family val="1"/>
      </rPr>
      <t xml:space="preserve"> </t>
    </r>
    <r>
      <rPr>
        <sz val="12"/>
        <color rgb="FF000000"/>
        <rFont val="Segoe UI"/>
        <family val="2"/>
      </rPr>
      <t>Education programs for youth groups</t>
    </r>
  </si>
  <si>
    <r>
      <t>15.</t>
    </r>
    <r>
      <rPr>
        <sz val="7"/>
        <color rgb="FF000000"/>
        <rFont val="Times New Roman"/>
        <family val="1"/>
      </rPr>
      <t xml:space="preserve"> </t>
    </r>
    <r>
      <rPr>
        <sz val="12"/>
        <color rgb="FF000000"/>
        <rFont val="Segoe UI"/>
        <family val="2"/>
      </rPr>
      <t>Mentors</t>
    </r>
  </si>
  <si>
    <r>
      <t>16.</t>
    </r>
    <r>
      <rPr>
        <sz val="7"/>
        <color rgb="FF000000"/>
        <rFont val="Times New Roman"/>
        <family val="1"/>
      </rPr>
      <t xml:space="preserve"> </t>
    </r>
    <r>
      <rPr>
        <sz val="12"/>
        <color rgb="FF000000"/>
        <rFont val="Segoe UI"/>
        <family val="2"/>
      </rPr>
      <t>Preschool prevention programs</t>
    </r>
  </si>
  <si>
    <r>
      <t>17.</t>
    </r>
    <r>
      <rPr>
        <sz val="7"/>
        <color rgb="FF000000"/>
        <rFont val="Times New Roman"/>
        <family val="1"/>
      </rPr>
      <t xml:space="preserve"> </t>
    </r>
    <r>
      <rPr>
        <sz val="12"/>
        <color rgb="FF000000"/>
        <rFont val="Segoe UI"/>
        <family val="2"/>
      </rPr>
      <t>Responsible Beverage Server Training</t>
    </r>
  </si>
  <si>
    <r>
      <t>Alternatives</t>
    </r>
    <r>
      <rPr>
        <sz val="12"/>
        <color rgb="FFD34727"/>
        <rFont val="Segoe UI"/>
        <family val="2"/>
      </rPr>
      <t xml:space="preserve"> </t>
    </r>
    <r>
      <rPr>
        <b/>
        <sz val="12"/>
        <color rgb="FF0E406A"/>
        <rFont val="Segoe UI"/>
        <family val="2"/>
      </rPr>
      <t>(events that occur during high-risk times of use and promote drug free environments)</t>
    </r>
  </si>
  <si>
    <r>
      <t>23.</t>
    </r>
    <r>
      <rPr>
        <sz val="7"/>
        <color rgb="FF000000"/>
        <rFont val="Times New Roman"/>
        <family val="1"/>
      </rPr>
      <t xml:space="preserve"> </t>
    </r>
    <r>
      <rPr>
        <sz val="12"/>
        <color rgb="FF000000"/>
        <rFont val="Segoe UI"/>
        <family val="2"/>
      </rPr>
      <t>Community drop-in centers</t>
    </r>
  </si>
  <si>
    <r>
      <t>24.</t>
    </r>
    <r>
      <rPr>
        <sz val="7"/>
        <color rgb="FF000000"/>
        <rFont val="Times New Roman"/>
        <family val="1"/>
      </rPr>
      <t xml:space="preserve"> </t>
    </r>
    <r>
      <rPr>
        <sz val="12"/>
        <color rgb="FF000000"/>
        <rFont val="Segoe UI"/>
        <family val="2"/>
      </rPr>
      <t>Community services activities</t>
    </r>
  </si>
  <si>
    <r>
      <t>25.</t>
    </r>
    <r>
      <rPr>
        <sz val="7"/>
        <color rgb="FF000000"/>
        <rFont val="Times New Roman"/>
        <family val="1"/>
      </rPr>
      <t xml:space="preserve"> </t>
    </r>
    <r>
      <rPr>
        <sz val="12"/>
        <color rgb="FF000000"/>
        <rFont val="Segoe UI"/>
        <family val="2"/>
      </rPr>
      <t>Outward Bound</t>
    </r>
  </si>
  <si>
    <r>
      <t>26.</t>
    </r>
    <r>
      <rPr>
        <sz val="7"/>
        <color rgb="FF000000"/>
        <rFont val="Times New Roman"/>
        <family val="1"/>
      </rPr>
      <t xml:space="preserve"> </t>
    </r>
    <r>
      <rPr>
        <sz val="12"/>
        <color rgb="FF000000"/>
        <rFont val="Segoe UI"/>
        <family val="2"/>
      </rPr>
      <t>Recreational activities</t>
    </r>
  </si>
  <si>
    <t>Problem Identification and Referral</t>
  </si>
  <si>
    <r>
      <t>31.</t>
    </r>
    <r>
      <rPr>
        <sz val="7"/>
        <color rgb="FF000000"/>
        <rFont val="Times New Roman"/>
        <family val="1"/>
      </rPr>
      <t xml:space="preserve"> </t>
    </r>
    <r>
      <rPr>
        <sz val="12"/>
        <color rgb="FF000000"/>
        <rFont val="Segoe UI"/>
        <family val="2"/>
      </rPr>
      <t>Employee Assistance Program</t>
    </r>
  </si>
  <si>
    <r>
      <t>32.</t>
    </r>
    <r>
      <rPr>
        <sz val="7"/>
        <color rgb="FF000000"/>
        <rFont val="Times New Roman"/>
        <family val="1"/>
      </rPr>
      <t xml:space="preserve"> </t>
    </r>
    <r>
      <rPr>
        <sz val="12"/>
        <color rgb="FF000000"/>
        <rFont val="Segoe UI"/>
        <family val="2"/>
      </rPr>
      <t>Student Assistance Programs</t>
    </r>
  </si>
  <si>
    <r>
      <t>34.</t>
    </r>
    <r>
      <rPr>
        <sz val="7"/>
        <color rgb="FF000000"/>
        <rFont val="Times New Roman"/>
        <family val="1"/>
      </rPr>
      <t xml:space="preserve"> </t>
    </r>
    <r>
      <rPr>
        <sz val="12"/>
        <color rgb="FF000000"/>
        <rFont val="Segoe UI"/>
        <family val="2"/>
      </rPr>
      <t>Prevention screening/referral to education</t>
    </r>
  </si>
  <si>
    <r>
      <t>Community Based Processes</t>
    </r>
    <r>
      <rPr>
        <b/>
        <sz val="12"/>
        <color rgb="FF0E406A"/>
        <rFont val="Segoe UI"/>
        <family val="2"/>
      </rPr>
      <t xml:space="preserve"> (usually one-time events)</t>
    </r>
  </si>
  <si>
    <r>
      <t>44.</t>
    </r>
    <r>
      <rPr>
        <sz val="7"/>
        <color rgb="FF000000"/>
        <rFont val="Times New Roman"/>
        <family val="1"/>
      </rPr>
      <t xml:space="preserve"> </t>
    </r>
    <r>
      <rPr>
        <sz val="12"/>
        <color rgb="FF000000"/>
        <rFont val="Segoe UI"/>
        <family val="2"/>
      </rPr>
      <t>Community team building</t>
    </r>
  </si>
  <si>
    <r>
      <t>Environmental</t>
    </r>
    <r>
      <rPr>
        <b/>
        <sz val="12"/>
        <color rgb="FF0E406A"/>
        <rFont val="Segoe UI"/>
        <family val="2"/>
      </rPr>
      <t xml:space="preserve"> (usually one-time events dealing with environmental changes and processes)</t>
    </r>
  </si>
  <si>
    <r>
      <t>51.</t>
    </r>
    <r>
      <rPr>
        <sz val="7"/>
        <color rgb="FF000000"/>
        <rFont val="Times New Roman"/>
        <family val="1"/>
      </rPr>
      <t xml:space="preserve"> </t>
    </r>
    <r>
      <rPr>
        <sz val="12"/>
        <color rgb="FF000000"/>
        <rFont val="Segoe UI"/>
        <family val="2"/>
      </rPr>
      <t>Promoting establishment/review of ATOD policies in schools</t>
    </r>
  </si>
  <si>
    <r>
      <t>53.</t>
    </r>
    <r>
      <rPr>
        <sz val="7"/>
        <color rgb="FF000000"/>
        <rFont val="Times New Roman"/>
        <family val="1"/>
      </rPr>
      <t xml:space="preserve"> </t>
    </r>
    <r>
      <rPr>
        <sz val="12"/>
        <color rgb="FF000000"/>
        <rFont val="Segoe UI"/>
        <family val="2"/>
      </rPr>
      <t>Modifying alcohol and tobacco advertising practices</t>
    </r>
  </si>
  <si>
    <r>
      <t>03.</t>
    </r>
    <r>
      <rPr>
        <sz val="7"/>
        <color theme="1"/>
        <rFont val="Times New Roman"/>
        <family val="1"/>
      </rPr>
      <t xml:space="preserve"> </t>
    </r>
    <r>
      <rPr>
        <sz val="12"/>
        <color theme="1"/>
        <rFont val="Segoe UI"/>
        <family val="2"/>
      </rPr>
      <t xml:space="preserve">Media campaigns </t>
    </r>
    <r>
      <rPr>
        <i/>
        <sz val="12"/>
        <color theme="1"/>
        <rFont val="Segoe UI"/>
        <family val="2"/>
      </rPr>
      <t>(Ex: media campaigns/activities not captured in Environmental, including Speak Volumes, Parents Lead, Not in My House, and other general prevention messages)</t>
    </r>
  </si>
  <si>
    <r>
      <t>12.</t>
    </r>
    <r>
      <rPr>
        <sz val="7"/>
        <color rgb="FF000000"/>
        <rFont val="Times New Roman"/>
        <family val="1"/>
      </rPr>
      <t xml:space="preserve"> </t>
    </r>
    <r>
      <rPr>
        <sz val="12"/>
        <color rgb="FF000000"/>
        <rFont val="Segoe UI"/>
        <family val="2"/>
      </rPr>
      <t xml:space="preserve">Ongoing classroom and/or small group sessions </t>
    </r>
    <r>
      <rPr>
        <i/>
        <sz val="12"/>
        <color rgb="FF000000"/>
        <rFont val="Segoe UI"/>
        <family val="2"/>
      </rPr>
      <t>(Ex: Project Northland, DARE, afterschool programs, etc.)</t>
    </r>
  </si>
  <si>
    <r>
      <t>21.</t>
    </r>
    <r>
      <rPr>
        <sz val="7"/>
        <color rgb="FF000000"/>
        <rFont val="Times New Roman"/>
        <family val="1"/>
      </rPr>
      <t xml:space="preserve"> </t>
    </r>
    <r>
      <rPr>
        <sz val="12"/>
        <color rgb="FF000000"/>
        <rFont val="Segoe UI"/>
        <family val="2"/>
      </rPr>
      <t xml:space="preserve">Drug free dances and parties </t>
    </r>
    <r>
      <rPr>
        <i/>
        <sz val="12"/>
        <color rgb="FF000000"/>
        <rFont val="Segoe UI"/>
        <family val="2"/>
      </rPr>
      <t>(Ex: Activities related to: after prom parties, after graduation parties, etc.)</t>
    </r>
  </si>
  <si>
    <r>
      <t>22.</t>
    </r>
    <r>
      <rPr>
        <sz val="7"/>
        <color rgb="FF000000"/>
        <rFont val="Times New Roman"/>
        <family val="1"/>
      </rPr>
      <t xml:space="preserve"> </t>
    </r>
    <r>
      <rPr>
        <sz val="12"/>
        <color rgb="FF000000"/>
        <rFont val="Segoe UI"/>
        <family val="2"/>
      </rPr>
      <t>Youth/Adult leadership activities (</t>
    </r>
    <r>
      <rPr>
        <i/>
        <sz val="12"/>
        <color rgb="FF000000"/>
        <rFont val="Segoe UI"/>
        <family val="2"/>
      </rPr>
      <t>Ex: Activities related to: cultural-based events)</t>
    </r>
  </si>
  <si>
    <r>
      <t>33.</t>
    </r>
    <r>
      <rPr>
        <sz val="7"/>
        <color rgb="FF000000"/>
        <rFont val="Times New Roman"/>
        <family val="1"/>
      </rPr>
      <t xml:space="preserve"> </t>
    </r>
    <r>
      <rPr>
        <sz val="12"/>
        <color rgb="FF000000"/>
        <rFont val="Segoe UI"/>
        <family val="2"/>
      </rPr>
      <t xml:space="preserve">Driving while under the influence/driving while intoxicated education programs </t>
    </r>
    <r>
      <rPr>
        <i/>
        <sz val="12"/>
        <color rgb="FF000000"/>
        <rFont val="Segoe UI"/>
        <family val="2"/>
      </rPr>
      <t>(Ex: Activities related to DUI/MIP Seminars)</t>
    </r>
  </si>
  <si>
    <r>
      <t>41.</t>
    </r>
    <r>
      <rPr>
        <sz val="7"/>
        <color rgb="FF000000"/>
        <rFont val="Times New Roman"/>
        <family val="1"/>
      </rPr>
      <t xml:space="preserve"> </t>
    </r>
    <r>
      <rPr>
        <sz val="12"/>
        <color rgb="FF000000"/>
        <rFont val="Segoe UI"/>
        <family val="2"/>
      </rPr>
      <t xml:space="preserve">Community and volunteer training (neighborhood action trainings) </t>
    </r>
    <r>
      <rPr>
        <i/>
        <sz val="12"/>
        <color rgb="FF000000"/>
        <rFont val="Segoe UI"/>
        <family val="2"/>
      </rPr>
      <t>(Ex: Activities related to: forums, townhall meetings, Hidden in Plain Sight, hosting trainings/webinars, etc.)</t>
    </r>
  </si>
  <si>
    <r>
      <t>42.</t>
    </r>
    <r>
      <rPr>
        <sz val="7"/>
        <color rgb="FF000000"/>
        <rFont val="Times New Roman"/>
        <family val="1"/>
      </rPr>
      <t xml:space="preserve"> </t>
    </r>
    <r>
      <rPr>
        <sz val="12"/>
        <color rgb="FF000000"/>
        <rFont val="Segoe UI"/>
        <family val="2"/>
      </rPr>
      <t>Systematic planning</t>
    </r>
    <r>
      <rPr>
        <i/>
        <sz val="12"/>
        <color rgb="FF000000"/>
        <rFont val="Segoe UI"/>
        <family val="2"/>
      </rPr>
      <t xml:space="preserve"> (Ex: Activities related to: collection of data, strategic planning, creation of a plan, assessment, etc.)</t>
    </r>
  </si>
  <si>
    <r>
      <t>43.</t>
    </r>
    <r>
      <rPr>
        <sz val="7"/>
        <color rgb="FF000000"/>
        <rFont val="Times New Roman"/>
        <family val="1"/>
      </rPr>
      <t xml:space="preserve"> </t>
    </r>
    <r>
      <rPr>
        <sz val="12"/>
        <color rgb="FF000000"/>
        <rFont val="Segoe UI"/>
        <family val="2"/>
      </rPr>
      <t xml:space="preserve">Multi-agency coordination and collaboration/coalition </t>
    </r>
    <r>
      <rPr>
        <i/>
        <sz val="12"/>
        <color rgb="FF000000"/>
        <rFont val="Segoe UI"/>
        <family val="2"/>
      </rPr>
      <t>(Ex: Activities related to: coalition/taskforce/key stakeholder meetings, etc.)</t>
    </r>
  </si>
  <si>
    <r>
      <t>45.</t>
    </r>
    <r>
      <rPr>
        <sz val="7"/>
        <color rgb="FF000000"/>
        <rFont val="Times New Roman"/>
        <family val="1"/>
      </rPr>
      <t xml:space="preserve"> </t>
    </r>
    <r>
      <rPr>
        <sz val="12"/>
        <color rgb="FF000000"/>
        <rFont val="Segoe UI"/>
        <family val="2"/>
      </rPr>
      <t xml:space="preserve">Accessing services and funding </t>
    </r>
    <r>
      <rPr>
        <i/>
        <sz val="12"/>
        <color rgb="FF000000"/>
        <rFont val="Segoe UI"/>
        <family val="2"/>
      </rPr>
      <t>(Ex: Activities related to: grant writing, fundraising, etc.)</t>
    </r>
  </si>
  <si>
    <r>
      <t>52.</t>
    </r>
    <r>
      <rPr>
        <sz val="7"/>
        <color rgb="FF000000"/>
        <rFont val="Times New Roman"/>
        <family val="1"/>
      </rPr>
      <t xml:space="preserve"> </t>
    </r>
    <r>
      <rPr>
        <sz val="12"/>
        <color rgb="FF000000"/>
        <rFont val="Segoe UI"/>
        <family val="2"/>
      </rPr>
      <t xml:space="preserve">Guidance and technical assistance on monitoring enforcement, governing availability, and distribution </t>
    </r>
    <r>
      <rPr>
        <i/>
        <sz val="12"/>
        <color rgb="FF000000"/>
        <rFont val="Segoe UI"/>
        <family val="2"/>
      </rPr>
      <t>(All activities related to: NDTip, implementing policies or laws re: responsible beverage server training, social host, Not in My House laws/policies/protocols, enforcement, Sticker Shock, alcohol restrictions, etc.)</t>
    </r>
  </si>
  <si>
    <r>
      <t>54.</t>
    </r>
    <r>
      <rPr>
        <sz val="7"/>
        <color rgb="FF000000"/>
        <rFont val="Times New Roman"/>
        <family val="1"/>
      </rPr>
      <t xml:space="preserve"> </t>
    </r>
    <r>
      <rPr>
        <sz val="12"/>
        <color rgb="FF000000"/>
        <rFont val="Segoe UI"/>
        <family val="2"/>
      </rPr>
      <t xml:space="preserve">Product pricing strategies </t>
    </r>
    <r>
      <rPr>
        <i/>
        <sz val="12"/>
        <color rgb="FF000000"/>
        <rFont val="Segoe UI"/>
        <family val="2"/>
      </rPr>
      <t>(All activities related to: increasing price/tax)</t>
    </r>
  </si>
  <si>
    <r>
      <t xml:space="preserve">Receive up to $1,500 per month for implementation of </t>
    </r>
    <r>
      <rPr>
        <b/>
        <i/>
        <sz val="12"/>
        <color theme="0"/>
        <rFont val="Segoe UI"/>
        <family val="2"/>
      </rPr>
      <t>three (3)</t>
    </r>
    <r>
      <rPr>
        <i/>
        <sz val="12"/>
        <color theme="0"/>
        <rFont val="Segoe UI"/>
        <family val="2"/>
      </rPr>
      <t xml:space="preserve"> required monthly activities listed in Attachment C - Parents Lead Community Toolkit. (Please note these activities cannot be counted twice or duplicated throughout the rest of the reporting form.)</t>
    </r>
  </si>
  <si>
    <t>Please note: only previously sustained activities may be done during the Assessment Phase. $5,000 will be reimbursed upon receipt of the completed Assessment Phase deliverables.</t>
  </si>
  <si>
    <t>Please note: only previously sustained activities may be done during the Planning Phase. $5,000 will be reimbursed upon receipt of the completed Planning Phase deliverables.</t>
  </si>
  <si>
    <t>$5,000 will be reimbursed upon receipt of the completed Evaluation Phase deliverables.</t>
  </si>
  <si>
    <t>01. Clearinghouse/information resource centers</t>
  </si>
  <si>
    <t>02. Resource directories</t>
  </si>
  <si>
    <t>06. Speaking engagements – presentations</t>
  </si>
  <si>
    <t>07. Health fairs and other health promotion – booth at community events, newsletters, attending webinars, etc.</t>
  </si>
  <si>
    <t>08. Information lines/Hot lines</t>
  </si>
  <si>
    <t>09. Email trees, newsletters, newspapers, press releases</t>
  </si>
  <si>
    <t>11. Parenting and family management</t>
  </si>
  <si>
    <t>13. Peer leader/helper programs</t>
  </si>
  <si>
    <t>14. Education programs for youth groups</t>
  </si>
  <si>
    <t>15. Mentors</t>
  </si>
  <si>
    <t>16. Preschool prevention programs</t>
  </si>
  <si>
    <t>17. Responsible Beverage Server Training</t>
  </si>
  <si>
    <t>23. Community drop-in centers</t>
  </si>
  <si>
    <t>24. Community services activities</t>
  </si>
  <si>
    <t>25. Outward Bound</t>
  </si>
  <si>
    <t>26. Recreational activities</t>
  </si>
  <si>
    <t>31. Employee Assistance Program</t>
  </si>
  <si>
    <t>32. Student Assistance Programs</t>
  </si>
  <si>
    <t>34. Prevention screening/referral to education</t>
  </si>
  <si>
    <t>44. Community team building</t>
  </si>
  <si>
    <t>51. Promoting establishment/review of ATOD policies in schools</t>
  </si>
  <si>
    <t>53. Modifying alcohol and tobacco advertising practices</t>
  </si>
  <si>
    <t>CSAP Codes</t>
  </si>
  <si>
    <r>
      <t xml:space="preserve">03. Media campaigns </t>
    </r>
    <r>
      <rPr>
        <i/>
        <sz val="9"/>
        <color theme="1"/>
        <rFont val="Segoe UI"/>
        <family val="2"/>
        <scheme val="minor"/>
      </rPr>
      <t>(Ex: media campaigns/activities not captured in Environmental, including Speak Volumes, Parents Lead, Not in My House, and other general prevention messages)</t>
    </r>
  </si>
  <si>
    <r>
      <t xml:space="preserve">04. Brochures – </t>
    </r>
    <r>
      <rPr>
        <i/>
        <sz val="9"/>
        <color theme="1"/>
        <rFont val="Segoe UI"/>
        <family val="2"/>
        <scheme val="minor"/>
      </rPr>
      <t xml:space="preserve">*all brochures which are not captured in Environmental </t>
    </r>
  </si>
  <si>
    <r>
      <t xml:space="preserve">05. Radio and TV PSAs - </t>
    </r>
    <r>
      <rPr>
        <i/>
        <sz val="9"/>
        <color theme="1"/>
        <rFont val="Segoe UI"/>
        <family val="2"/>
        <scheme val="minor"/>
      </rPr>
      <t>*all radio and TV which is not captured in Environmental</t>
    </r>
  </si>
  <si>
    <r>
      <t xml:space="preserve">12. Ongoing classroom and/or small group sessions </t>
    </r>
    <r>
      <rPr>
        <i/>
        <sz val="9"/>
        <color theme="1"/>
        <rFont val="Segoe UI"/>
        <family val="2"/>
        <scheme val="minor"/>
      </rPr>
      <t>(Ex: Project Northland,  afterschool programs, etc.)</t>
    </r>
  </si>
  <si>
    <r>
      <t xml:space="preserve">21. Drug free dances and parties </t>
    </r>
    <r>
      <rPr>
        <i/>
        <sz val="9"/>
        <color theme="1"/>
        <rFont val="Segoe UI"/>
        <family val="2"/>
        <scheme val="minor"/>
      </rPr>
      <t>(Ex: Activities related to: after prom parties, after graduation parties, etc.)</t>
    </r>
  </si>
  <si>
    <r>
      <t xml:space="preserve">22. Youth/Adult leadership activities </t>
    </r>
    <r>
      <rPr>
        <i/>
        <sz val="9"/>
        <color theme="1"/>
        <rFont val="Segoe UI"/>
        <family val="2"/>
        <scheme val="minor"/>
      </rPr>
      <t>(Ex: Activities related to: cultural-based events)</t>
    </r>
  </si>
  <si>
    <r>
      <t xml:space="preserve">33. Driving while under the influence/driving while intoxicated education programs </t>
    </r>
    <r>
      <rPr>
        <i/>
        <sz val="9"/>
        <color theme="1"/>
        <rFont val="Segoe UI"/>
        <family val="2"/>
        <scheme val="minor"/>
      </rPr>
      <t>(Ex: Activities related to DUI/MIP Seminars)</t>
    </r>
  </si>
  <si>
    <r>
      <t xml:space="preserve">41. Community and volunteer training (neighborhood action trainings) </t>
    </r>
    <r>
      <rPr>
        <i/>
        <sz val="9"/>
        <color theme="1"/>
        <rFont val="Segoe UI"/>
        <family val="2"/>
        <scheme val="minor"/>
      </rPr>
      <t>(Ex: Activities related to: forums, townhall meetings, Hidden in Plain Sight, hosting trainings/webinars, etc.)</t>
    </r>
  </si>
  <si>
    <r>
      <t xml:space="preserve">42. Systematic planning </t>
    </r>
    <r>
      <rPr>
        <i/>
        <sz val="9"/>
        <color theme="1"/>
        <rFont val="Segoe UI"/>
        <family val="2"/>
        <scheme val="minor"/>
      </rPr>
      <t>(Ex: Activities related to: collection of data, strategic planning, creation of a plan, assessment, etc.)</t>
    </r>
  </si>
  <si>
    <r>
      <t xml:space="preserve">43. Multi-agency coordination and collaboration/coalition </t>
    </r>
    <r>
      <rPr>
        <i/>
        <sz val="9"/>
        <color theme="1"/>
        <rFont val="Segoe UI"/>
        <family val="2"/>
        <scheme val="minor"/>
      </rPr>
      <t>(Ex: Activities related to: coalition/taskforce/key stakeholder meetings, etc.)</t>
    </r>
  </si>
  <si>
    <r>
      <t xml:space="preserve">45. Accessing services and funding </t>
    </r>
    <r>
      <rPr>
        <i/>
        <sz val="9"/>
        <color theme="1"/>
        <rFont val="Segoe UI"/>
        <family val="2"/>
        <scheme val="minor"/>
      </rPr>
      <t>(Ex: Activities related to: grant writing, fundraising, etc.)</t>
    </r>
  </si>
  <si>
    <r>
      <t xml:space="preserve">52. Guidance/TA  on monitoring enforcement, governing availability, distribution </t>
    </r>
    <r>
      <rPr>
        <i/>
        <sz val="9"/>
        <color theme="1"/>
        <rFont val="Segoe UI"/>
        <family val="2"/>
        <scheme val="minor"/>
      </rPr>
      <t>(All activities related to: NDTip, implementing policies or laws re: RBST, social host, NIMH laws/policies/protocols, Sticker Shock, restrictions, etc.)</t>
    </r>
  </si>
  <si>
    <r>
      <t xml:space="preserve">54. Product pricing strategies </t>
    </r>
    <r>
      <rPr>
        <i/>
        <sz val="9"/>
        <color theme="1"/>
        <rFont val="Segoe UI"/>
        <family val="2"/>
        <scheme val="minor"/>
      </rPr>
      <t>(All activities related to: increasing price/tax)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</si>
</sst>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5" x14ac:knownFonts="1">
    <font>
      <sz val="11"/>
      <color theme="1"/>
      <name val="Segoe UI"/>
      <family val="2"/>
      <scheme val="minor"/>
    </font>
    <font>
      <sz val="10"/>
      <color theme="1"/>
      <name val="Segoe UI"/>
      <family val="2"/>
    </font>
    <font>
      <b/>
      <sz val="10"/>
      <name val="Segoe UI"/>
      <family val="2"/>
    </font>
    <font>
      <b/>
      <u/>
      <sz val="12"/>
      <color rgb="FFD34727"/>
      <name val="Segoe UI"/>
      <family val="2"/>
    </font>
    <font>
      <sz val="12"/>
      <color rgb="FFD34727"/>
      <name val="Segoe UI"/>
      <family val="2"/>
    </font>
    <font>
      <b/>
      <sz val="12"/>
      <color rgb="FF0E406A"/>
      <name val="Segoe UI"/>
      <family val="2"/>
    </font>
    <font>
      <sz val="12"/>
      <color rgb="FF000000"/>
      <name val="Segoe UI"/>
      <family val="2"/>
    </font>
    <font>
      <sz val="10"/>
      <color rgb="FF000000"/>
      <name val="Segoe UI"/>
      <family val="2"/>
    </font>
    <font>
      <sz val="7"/>
      <color rgb="FFD34727"/>
      <name val="Times New Roman"/>
      <family val="1"/>
    </font>
    <font>
      <sz val="8"/>
      <color rgb="FF000000"/>
      <name val="Segoe UI"/>
      <family val="2"/>
    </font>
    <font>
      <u/>
      <sz val="10"/>
      <color rgb="FF000000"/>
      <name val="Segoe UI"/>
      <family val="2"/>
    </font>
    <font>
      <sz val="7"/>
      <color rgb="FF000000"/>
      <name val="Times New Roman"/>
      <family val="1"/>
    </font>
    <font>
      <sz val="9"/>
      <color rgb="FF000000"/>
      <name val="Segoe UI"/>
      <family val="2"/>
    </font>
    <font>
      <i/>
      <sz val="12"/>
      <color rgb="FFD34727"/>
      <name val="Segoe UI"/>
      <family val="2"/>
    </font>
    <font>
      <sz val="11"/>
      <color theme="1"/>
      <name val="Segoe UI"/>
      <family val="2"/>
    </font>
    <font>
      <sz val="18"/>
      <color theme="0"/>
      <name val="Segoe UI"/>
      <family val="2"/>
    </font>
    <font>
      <b/>
      <sz val="11"/>
      <color theme="1"/>
      <name val="Segoe UI"/>
      <family val="2"/>
    </font>
    <font>
      <sz val="9"/>
      <color theme="1"/>
      <name val="Segoe UI"/>
      <family val="2"/>
    </font>
    <font>
      <b/>
      <sz val="9"/>
      <color theme="1"/>
      <name val="Segoe UI"/>
      <family val="2"/>
    </font>
    <font>
      <sz val="8"/>
      <name val="Segoe UI"/>
      <family val="2"/>
      <scheme val="minor"/>
    </font>
    <font>
      <sz val="11"/>
      <color theme="1"/>
      <name val="Segoe UI"/>
      <family val="2"/>
      <scheme val="minor"/>
    </font>
    <font>
      <sz val="7"/>
      <color rgb="FF000000"/>
      <name val="Times New Roman"/>
      <family val="2"/>
    </font>
    <font>
      <b/>
      <sz val="11"/>
      <color theme="0"/>
      <name val="Segoe UI"/>
      <family val="2"/>
    </font>
    <font>
      <i/>
      <sz val="12"/>
      <color theme="0"/>
      <name val="Segoe UI"/>
      <family val="2"/>
    </font>
    <font>
      <b/>
      <sz val="12"/>
      <name val="Segoe UI"/>
      <family val="2"/>
    </font>
    <font>
      <i/>
      <sz val="18"/>
      <color theme="0"/>
      <name val="Segoe UI"/>
      <family val="2"/>
    </font>
    <font>
      <b/>
      <i/>
      <sz val="11"/>
      <color rgb="FFD34727"/>
      <name val="Segoe UI"/>
      <family val="2"/>
    </font>
    <font>
      <sz val="11"/>
      <color theme="0"/>
      <name val="Segoe UI"/>
      <family val="2"/>
    </font>
    <font>
      <sz val="12"/>
      <color theme="1"/>
      <name val="Segoe UI"/>
      <family val="2"/>
    </font>
    <font>
      <sz val="7"/>
      <color theme="1"/>
      <name val="Times New Roman"/>
      <family val="1"/>
    </font>
    <font>
      <i/>
      <sz val="12"/>
      <color theme="1"/>
      <name val="Segoe UI"/>
      <family val="2"/>
    </font>
    <font>
      <i/>
      <sz val="12"/>
      <color rgb="FF000000"/>
      <name val="Segoe UI"/>
      <family val="2"/>
    </font>
    <font>
      <b/>
      <i/>
      <sz val="12"/>
      <color theme="0"/>
      <name val="Segoe UI"/>
      <family val="2"/>
    </font>
    <font>
      <sz val="9"/>
      <color theme="1"/>
      <name val="Segoe UI"/>
      <family val="2"/>
      <scheme val="minor"/>
    </font>
    <font>
      <i/>
      <sz val="9"/>
      <color theme="1"/>
      <name val="Segoe UI"/>
      <family val="2"/>
      <scheme val="minor"/>
    </font>
  </fonts>
  <fills count="8">
    <fill>
      <patternFill patternType="none"/>
    </fill>
    <fill>
      <patternFill patternType="gray125"/>
    </fill>
    <fill>
      <patternFill patternType="solid">
        <fgColor rgb="FF0E406A"/>
        <bgColor indexed="64"/>
      </patternFill>
    </fill>
    <fill>
      <patternFill patternType="solid">
        <fgColor theme="0"/>
        <bgColor indexed="64"/>
      </patternFill>
    </fill>
    <fill>
      <patternFill patternType="solid">
        <fgColor theme="0" tint="-4.9989318521683403E-2"/>
        <bgColor indexed="64"/>
      </patternFill>
    </fill>
    <fill>
      <patternFill patternType="solid">
        <fgColor rgb="FFE2DFDA"/>
        <bgColor indexed="64"/>
      </patternFill>
    </fill>
    <fill>
      <patternFill patternType="solid">
        <fgColor rgb="FFD34727"/>
        <bgColor indexed="64"/>
      </patternFill>
    </fill>
    <fill>
      <patternFill patternType="solid">
        <fgColor rgb="FF049FDA"/>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20" fillId="0" borderId="0" applyFont="0" applyFill="0" applyBorder="0" applyAlignment="0" applyProtection="0"/>
  </cellStyleXfs>
  <cellXfs count="76">
    <xf numFmtId="0" fontId="0" fillId="0" borderId="0" xfId="0"/>
    <xf numFmtId="0" fontId="14" fillId="3" borderId="0" xfId="0" applyFont="1" applyFill="1"/>
    <xf numFmtId="164" fontId="14" fillId="4" borderId="3" xfId="0" applyNumberFormat="1" applyFont="1" applyFill="1" applyBorder="1" applyProtection="1">
      <protection locked="0"/>
    </xf>
    <xf numFmtId="0" fontId="16" fillId="0" borderId="0" xfId="0" applyFont="1"/>
    <xf numFmtId="164" fontId="14" fillId="4" borderId="3" xfId="0" applyNumberFormat="1" applyFont="1" applyFill="1" applyBorder="1"/>
    <xf numFmtId="0" fontId="16" fillId="3" borderId="0" xfId="0" applyFont="1" applyFill="1"/>
    <xf numFmtId="3" fontId="14" fillId="3" borderId="0" xfId="0" applyNumberFormat="1" applyFont="1" applyFill="1"/>
    <xf numFmtId="0" fontId="16" fillId="3" borderId="0" xfId="0" applyFont="1" applyFill="1" applyAlignment="1">
      <alignment horizontal="left"/>
    </xf>
    <xf numFmtId="0" fontId="14" fillId="3" borderId="0" xfId="0" applyFont="1" applyFill="1" applyBorder="1"/>
    <xf numFmtId="0" fontId="16" fillId="3" borderId="0" xfId="0" applyFont="1" applyFill="1" applyBorder="1" applyAlignment="1">
      <alignment horizontal="left"/>
    </xf>
    <xf numFmtId="0" fontId="1" fillId="3" borderId="6" xfId="0" applyFont="1" applyFill="1" applyBorder="1" applyAlignment="1">
      <alignment wrapText="1"/>
    </xf>
    <xf numFmtId="49" fontId="1" fillId="3" borderId="4" xfId="0" applyNumberFormat="1" applyFont="1" applyFill="1" applyBorder="1"/>
    <xf numFmtId="0" fontId="16" fillId="0" borderId="0" xfId="0" applyFont="1" applyBorder="1" applyAlignment="1">
      <alignment horizontal="left"/>
    </xf>
    <xf numFmtId="0" fontId="15" fillId="2" borderId="0" xfId="0" applyFont="1" applyFill="1" applyBorder="1" applyAlignment="1">
      <alignment horizontal="center"/>
    </xf>
    <xf numFmtId="0" fontId="7"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Border="1" applyAlignment="1"/>
    <xf numFmtId="0" fontId="7" fillId="0" borderId="0" xfId="0" applyFont="1" applyBorder="1" applyAlignment="1">
      <alignment horizontal="left" vertical="center"/>
    </xf>
    <xf numFmtId="0" fontId="9" fillId="0" borderId="0" xfId="0" applyFont="1" applyBorder="1" applyAlignment="1">
      <alignment horizontal="left" vertical="center"/>
    </xf>
    <xf numFmtId="0" fontId="6" fillId="0" borderId="0" xfId="0" applyFont="1" applyBorder="1" applyAlignment="1">
      <alignment horizontal="left" vertical="center"/>
    </xf>
    <xf numFmtId="0" fontId="12" fillId="0" borderId="0" xfId="0" applyFont="1" applyBorder="1" applyAlignment="1">
      <alignment horizontal="left" vertical="center"/>
    </xf>
    <xf numFmtId="0" fontId="21" fillId="0" borderId="0" xfId="0" applyFont="1" applyBorder="1" applyAlignment="1">
      <alignment horizontal="left" vertical="center"/>
    </xf>
    <xf numFmtId="0" fontId="15" fillId="0" borderId="0" xfId="0" applyFont="1" applyFill="1" applyBorder="1" applyAlignment="1"/>
    <xf numFmtId="0" fontId="14" fillId="0" borderId="0" xfId="0" applyFont="1"/>
    <xf numFmtId="0" fontId="17" fillId="0" borderId="10" xfId="0" applyFont="1" applyFill="1" applyBorder="1" applyAlignment="1" applyProtection="1">
      <alignment horizontal="left" vertical="top" wrapText="1"/>
      <protection locked="0"/>
    </xf>
    <xf numFmtId="0" fontId="17" fillId="0" borderId="0" xfId="0" applyFont="1" applyFill="1" applyAlignment="1" applyProtection="1">
      <alignment horizontal="left" vertical="center" wrapText="1"/>
      <protection locked="0"/>
    </xf>
    <xf numFmtId="0" fontId="2" fillId="5" borderId="0" xfId="0" applyFont="1" applyFill="1" applyAlignment="1">
      <alignment horizontal="center" vertical="center" wrapText="1"/>
    </xf>
    <xf numFmtId="0" fontId="17" fillId="0" borderId="0" xfId="0" applyFont="1" applyFill="1" applyBorder="1" applyAlignment="1" applyProtection="1">
      <alignment horizontal="left" vertical="center" wrapText="1"/>
      <protection locked="0"/>
    </xf>
    <xf numFmtId="0" fontId="14" fillId="0" borderId="7" xfId="0" applyFont="1" applyFill="1" applyBorder="1" applyProtection="1">
      <protection locked="0"/>
    </xf>
    <xf numFmtId="44" fontId="17" fillId="0" borderId="9" xfId="1" applyFont="1" applyFill="1" applyBorder="1" applyAlignment="1" applyProtection="1">
      <alignment horizontal="left" vertical="center" wrapText="1"/>
      <protection locked="0"/>
    </xf>
    <xf numFmtId="0" fontId="18" fillId="0" borderId="8" xfId="0" applyFont="1" applyFill="1" applyBorder="1" applyAlignment="1" applyProtection="1">
      <alignment horizontal="right" vertical="center" wrapText="1"/>
      <protection locked="0"/>
    </xf>
    <xf numFmtId="0" fontId="17" fillId="0" borderId="0" xfId="0" applyFont="1" applyFill="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protection locked="0"/>
    </xf>
    <xf numFmtId="44" fontId="22" fillId="7" borderId="4" xfId="0" applyNumberFormat="1" applyFont="1" applyFill="1" applyBorder="1"/>
    <xf numFmtId="44" fontId="17" fillId="0" borderId="9" xfId="0" applyNumberFormat="1" applyFont="1" applyFill="1" applyBorder="1" applyAlignment="1" applyProtection="1">
      <alignment horizontal="left" vertical="center" wrapText="1"/>
      <protection locked="0"/>
    </xf>
    <xf numFmtId="44" fontId="17" fillId="0" borderId="11" xfId="1" applyFont="1" applyFill="1" applyBorder="1" applyAlignment="1" applyProtection="1">
      <alignment horizontal="left" vertical="center" wrapText="1"/>
      <protection locked="0"/>
    </xf>
    <xf numFmtId="44" fontId="22" fillId="6" borderId="14" xfId="0" applyNumberFormat="1" applyFont="1" applyFill="1" applyBorder="1"/>
    <xf numFmtId="0" fontId="26" fillId="0" borderId="0" xfId="0" applyFont="1" applyFill="1"/>
    <xf numFmtId="0" fontId="27" fillId="3" borderId="0" xfId="0" applyFont="1" applyFill="1"/>
    <xf numFmtId="3" fontId="0" fillId="0" borderId="0" xfId="0" applyNumberFormat="1"/>
    <xf numFmtId="0" fontId="3" fillId="0" borderId="0" xfId="0" applyFont="1" applyAlignment="1">
      <alignment horizontal="left" vertical="center" indent="2"/>
    </xf>
    <xf numFmtId="0" fontId="28"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vertical="center"/>
    </xf>
    <xf numFmtId="0" fontId="6" fillId="0" borderId="0" xfId="0" applyFont="1" applyAlignment="1">
      <alignment horizontal="left" vertical="center" indent="2"/>
    </xf>
    <xf numFmtId="0" fontId="28" fillId="0" borderId="0" xfId="0" applyFont="1" applyAlignment="1">
      <alignment horizontal="left" vertical="center" wrapText="1" indent="4"/>
    </xf>
    <xf numFmtId="0" fontId="6" fillId="0" borderId="0" xfId="0" applyFont="1" applyAlignment="1">
      <alignment horizontal="left" vertical="center" wrapText="1" indent="4"/>
    </xf>
    <xf numFmtId="0" fontId="33" fillId="0" borderId="0" xfId="0" applyFont="1" applyBorder="1" applyAlignment="1">
      <alignment wrapText="1"/>
    </xf>
    <xf numFmtId="0" fontId="17" fillId="0" borderId="0" xfId="0" applyFont="1" applyAlignment="1">
      <alignment wrapText="1"/>
    </xf>
    <xf numFmtId="0" fontId="17" fillId="0" borderId="0" xfId="0" applyFont="1"/>
    <xf numFmtId="0" fontId="15" fillId="6" borderId="1" xfId="0" applyFont="1" applyFill="1" applyBorder="1" applyAlignment="1">
      <alignment horizontal="left"/>
    </xf>
    <xf numFmtId="0" fontId="15" fillId="6" borderId="12" xfId="0" applyFont="1" applyFill="1" applyBorder="1" applyAlignment="1">
      <alignment horizontal="left"/>
    </xf>
    <xf numFmtId="0" fontId="15" fillId="6" borderId="13" xfId="0" applyFont="1" applyFill="1" applyBorder="1" applyAlignment="1">
      <alignment horizontal="left"/>
    </xf>
    <xf numFmtId="0" fontId="15" fillId="2" borderId="7" xfId="0" applyFont="1" applyFill="1" applyBorder="1" applyAlignment="1">
      <alignment horizontal="left"/>
    </xf>
    <xf numFmtId="0" fontId="15" fillId="2" borderId="8" xfId="0" applyFont="1" applyFill="1" applyBorder="1" applyAlignment="1">
      <alignment horizontal="left"/>
    </xf>
    <xf numFmtId="0" fontId="15" fillId="2" borderId="9" xfId="0" applyFont="1" applyFill="1" applyBorder="1" applyAlignment="1">
      <alignment horizontal="left"/>
    </xf>
    <xf numFmtId="0" fontId="24" fillId="5" borderId="10" xfId="0" applyFont="1" applyFill="1" applyBorder="1" applyAlignment="1">
      <alignment horizontal="right" wrapText="1"/>
    </xf>
    <xf numFmtId="0" fontId="24" fillId="5" borderId="0" xfId="0" applyFont="1" applyFill="1" applyAlignment="1">
      <alignment horizontal="right" wrapText="1"/>
    </xf>
    <xf numFmtId="0" fontId="23" fillId="2" borderId="4" xfId="0" applyFont="1" applyFill="1" applyBorder="1" applyAlignment="1">
      <alignment horizontal="left" vertical="center" wrapText="1"/>
    </xf>
    <xf numFmtId="0" fontId="24" fillId="5" borderId="18" xfId="0" applyFont="1" applyFill="1" applyBorder="1" applyAlignment="1">
      <alignment horizontal="right" wrapText="1"/>
    </xf>
    <xf numFmtId="0" fontId="24" fillId="5" borderId="19" xfId="0" applyFont="1" applyFill="1" applyBorder="1" applyAlignment="1">
      <alignment horizontal="right" wrapText="1"/>
    </xf>
    <xf numFmtId="0" fontId="23" fillId="2" borderId="18" xfId="0" applyFont="1" applyFill="1" applyBorder="1" applyAlignment="1">
      <alignment horizontal="left" vertical="center" wrapText="1"/>
    </xf>
    <xf numFmtId="0" fontId="23" fillId="2" borderId="19"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23" fillId="2" borderId="15"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2" borderId="17" xfId="0" applyFont="1" applyFill="1" applyBorder="1" applyAlignment="1">
      <alignment horizontal="left" vertical="center" wrapText="1"/>
    </xf>
    <xf numFmtId="44" fontId="14" fillId="4" borderId="4" xfId="0" applyNumberFormat="1" applyFont="1" applyFill="1" applyBorder="1" applyAlignment="1">
      <alignment horizontal="left"/>
    </xf>
    <xf numFmtId="0" fontId="16" fillId="0" borderId="1" xfId="0" applyFont="1" applyBorder="1" applyAlignment="1">
      <alignment horizontal="left"/>
    </xf>
    <xf numFmtId="0" fontId="16" fillId="0" borderId="2" xfId="0" applyFont="1" applyBorder="1" applyAlignment="1">
      <alignment horizontal="left"/>
    </xf>
    <xf numFmtId="0" fontId="15" fillId="2" borderId="0" xfId="0" applyFont="1" applyFill="1" applyAlignment="1">
      <alignment horizontal="center"/>
    </xf>
    <xf numFmtId="44" fontId="14" fillId="4" borderId="6" xfId="0" applyNumberFormat="1" applyFont="1" applyFill="1" applyBorder="1" applyAlignment="1">
      <alignment horizontal="left"/>
    </xf>
    <xf numFmtId="44" fontId="14" fillId="4" borderId="5" xfId="0" applyNumberFormat="1" applyFont="1" applyFill="1" applyBorder="1" applyAlignment="1">
      <alignment horizontal="left"/>
    </xf>
  </cellXfs>
  <cellStyles count="2">
    <cellStyle name="Currency" xfId="1" builtinId="4"/>
    <cellStyle name="Normal" xfId="0" builtinId="0"/>
  </cellStyles>
  <dxfs count="4896">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9"/>
        <color theme="1"/>
        <name val="Segoe UI"/>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border>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Segoe UI"/>
        <family val="2"/>
        <scheme val="none"/>
      </font>
      <fill>
        <patternFill patternType="solid">
          <fgColor indexed="64"/>
          <bgColor rgb="FFE2DFDA"/>
        </patternFill>
      </fill>
      <alignment horizontal="center" vertical="center" textRotation="0" wrapText="1" indent="0" justifyLastLine="0" shrinkToFit="0" readingOrder="0"/>
    </dxf>
  </dxfs>
  <tableStyles count="0" defaultTableStyle="TableStyleMedium2" defaultPivotStyle="PivotStyleLight16"/>
  <colors>
    <mruColors>
      <color rgb="FF0E406A"/>
      <color rgb="FFD34727"/>
      <color rgb="FFE2DFDA"/>
      <color rgb="FF049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2023-2024</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696653203323671E-2"/>
          <c:y val="0.19595159515951596"/>
          <c:w val="0.86713230794337237"/>
          <c:h val="0.5898911150957615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0-463E-45CC-B0A1-B09B3545187A}"/>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numLit>
          </c:val>
          <c:extLst>
            <c:ext xmlns:c16="http://schemas.microsoft.com/office/drawing/2014/chart" uri="{C3380CC4-5D6E-409C-BE32-E72D297353CC}">
              <c16:uniqueId val="{00000001-463E-45CC-B0A1-B09B3545187A}"/>
            </c:ext>
          </c:extLst>
        </c:ser>
        <c:dLbls>
          <c:dLblPos val="outEnd"/>
          <c:showLegendKey val="0"/>
          <c:showVal val="1"/>
          <c:showCatName val="0"/>
          <c:showSerName val="0"/>
          <c:showPercent val="0"/>
          <c:showBubbleSize val="0"/>
        </c:dLbls>
        <c:gapWidth val="444"/>
        <c:overlap val="-90"/>
        <c:axId val="48435792"/>
        <c:axId val="2081233280"/>
      </c:barChart>
      <c:catAx>
        <c:axId val="48435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81233280"/>
        <c:crosses val="autoZero"/>
        <c:auto val="1"/>
        <c:lblAlgn val="ctr"/>
        <c:lblOffset val="100"/>
        <c:noMultiLvlLbl val="0"/>
      </c:catAx>
      <c:valAx>
        <c:axId val="2081233280"/>
        <c:scaling>
          <c:orientation val="minMax"/>
        </c:scaling>
        <c:delete val="1"/>
        <c:axPos val="l"/>
        <c:numFmt formatCode="General" sourceLinked="1"/>
        <c:majorTickMark val="none"/>
        <c:minorTickMark val="none"/>
        <c:tickLblPos val="nextTo"/>
        <c:crossAx val="4843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2024-2025</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696653203323671E-2"/>
          <c:y val="0.19595159515951596"/>
          <c:w val="0.86713230794337237"/>
          <c:h val="0.5898911150957615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0-74B7-4F13-80A5-A637BFAD05D8}"/>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numLit>
          </c:val>
          <c:extLst>
            <c:ext xmlns:c16="http://schemas.microsoft.com/office/drawing/2014/chart" uri="{C3380CC4-5D6E-409C-BE32-E72D297353CC}">
              <c16:uniqueId val="{00000001-74B7-4F13-80A5-A637BFAD05D8}"/>
            </c:ext>
          </c:extLst>
        </c:ser>
        <c:dLbls>
          <c:dLblPos val="outEnd"/>
          <c:showLegendKey val="0"/>
          <c:showVal val="1"/>
          <c:showCatName val="0"/>
          <c:showSerName val="0"/>
          <c:showPercent val="0"/>
          <c:showBubbleSize val="0"/>
        </c:dLbls>
        <c:gapWidth val="444"/>
        <c:overlap val="-90"/>
        <c:axId val="48435792"/>
        <c:axId val="2081233280"/>
      </c:barChart>
      <c:catAx>
        <c:axId val="48435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81233280"/>
        <c:crosses val="autoZero"/>
        <c:auto val="1"/>
        <c:lblAlgn val="ctr"/>
        <c:lblOffset val="100"/>
        <c:noMultiLvlLbl val="0"/>
      </c:catAx>
      <c:valAx>
        <c:axId val="2081233280"/>
        <c:scaling>
          <c:orientation val="minMax"/>
        </c:scaling>
        <c:delete val="1"/>
        <c:axPos val="l"/>
        <c:numFmt formatCode="General" sourceLinked="1"/>
        <c:majorTickMark val="none"/>
        <c:minorTickMark val="none"/>
        <c:tickLblPos val="nextTo"/>
        <c:crossAx val="4843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2025-2026</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696653203323671E-2"/>
          <c:y val="0.19595159515951596"/>
          <c:w val="0.86713230794337237"/>
          <c:h val="0.5898911150957615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0-BFDC-41FB-9DD8-B8A7D61A439E}"/>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numLit>
          </c:val>
          <c:extLst>
            <c:ext xmlns:c16="http://schemas.microsoft.com/office/drawing/2014/chart" uri="{C3380CC4-5D6E-409C-BE32-E72D297353CC}">
              <c16:uniqueId val="{00000001-BFDC-41FB-9DD8-B8A7D61A439E}"/>
            </c:ext>
          </c:extLst>
        </c:ser>
        <c:dLbls>
          <c:dLblPos val="outEnd"/>
          <c:showLegendKey val="0"/>
          <c:showVal val="1"/>
          <c:showCatName val="0"/>
          <c:showSerName val="0"/>
          <c:showPercent val="0"/>
          <c:showBubbleSize val="0"/>
        </c:dLbls>
        <c:gapWidth val="444"/>
        <c:overlap val="-90"/>
        <c:axId val="48435792"/>
        <c:axId val="2081233280"/>
      </c:barChart>
      <c:catAx>
        <c:axId val="48435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81233280"/>
        <c:crosses val="autoZero"/>
        <c:auto val="1"/>
        <c:lblAlgn val="ctr"/>
        <c:lblOffset val="100"/>
        <c:noMultiLvlLbl val="0"/>
      </c:catAx>
      <c:valAx>
        <c:axId val="2081233280"/>
        <c:scaling>
          <c:orientation val="minMax"/>
        </c:scaling>
        <c:delete val="1"/>
        <c:axPos val="l"/>
        <c:numFmt formatCode="General" sourceLinked="1"/>
        <c:majorTickMark val="none"/>
        <c:minorTickMark val="none"/>
        <c:tickLblPos val="nextTo"/>
        <c:crossAx val="4843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2023-2024</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696653203323671E-2"/>
          <c:y val="0.19595159515951596"/>
          <c:w val="0.86713230794337237"/>
          <c:h val="0.5898911150957615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0-2B0D-439B-8BEA-E1C28775848D}"/>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numLit>
          </c:val>
          <c:extLst>
            <c:ext xmlns:c16="http://schemas.microsoft.com/office/drawing/2014/chart" uri="{C3380CC4-5D6E-409C-BE32-E72D297353CC}">
              <c16:uniqueId val="{00000001-2B0D-439B-8BEA-E1C28775848D}"/>
            </c:ext>
          </c:extLst>
        </c:ser>
        <c:dLbls>
          <c:dLblPos val="outEnd"/>
          <c:showLegendKey val="0"/>
          <c:showVal val="1"/>
          <c:showCatName val="0"/>
          <c:showSerName val="0"/>
          <c:showPercent val="0"/>
          <c:showBubbleSize val="0"/>
        </c:dLbls>
        <c:gapWidth val="444"/>
        <c:overlap val="-90"/>
        <c:axId val="48435792"/>
        <c:axId val="2081233280"/>
      </c:barChart>
      <c:catAx>
        <c:axId val="48435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81233280"/>
        <c:crosses val="autoZero"/>
        <c:auto val="1"/>
        <c:lblAlgn val="ctr"/>
        <c:lblOffset val="100"/>
        <c:noMultiLvlLbl val="0"/>
      </c:catAx>
      <c:valAx>
        <c:axId val="2081233280"/>
        <c:scaling>
          <c:orientation val="minMax"/>
        </c:scaling>
        <c:delete val="1"/>
        <c:axPos val="l"/>
        <c:numFmt formatCode="General" sourceLinked="1"/>
        <c:majorTickMark val="none"/>
        <c:minorTickMark val="none"/>
        <c:tickLblPos val="nextTo"/>
        <c:crossAx val="4843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2024-2025</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696653203323671E-2"/>
          <c:y val="0.19595159515951596"/>
          <c:w val="0.86713230794337237"/>
          <c:h val="0.5898911150957615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0-87EF-47CF-A020-98744C6546BA}"/>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numLit>
          </c:val>
          <c:extLst>
            <c:ext xmlns:c16="http://schemas.microsoft.com/office/drawing/2014/chart" uri="{C3380CC4-5D6E-409C-BE32-E72D297353CC}">
              <c16:uniqueId val="{00000001-87EF-47CF-A020-98744C6546BA}"/>
            </c:ext>
          </c:extLst>
        </c:ser>
        <c:dLbls>
          <c:dLblPos val="outEnd"/>
          <c:showLegendKey val="0"/>
          <c:showVal val="1"/>
          <c:showCatName val="0"/>
          <c:showSerName val="0"/>
          <c:showPercent val="0"/>
          <c:showBubbleSize val="0"/>
        </c:dLbls>
        <c:gapWidth val="444"/>
        <c:overlap val="-90"/>
        <c:axId val="48435792"/>
        <c:axId val="2081233280"/>
      </c:barChart>
      <c:catAx>
        <c:axId val="48435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81233280"/>
        <c:crosses val="autoZero"/>
        <c:auto val="1"/>
        <c:lblAlgn val="ctr"/>
        <c:lblOffset val="100"/>
        <c:noMultiLvlLbl val="0"/>
      </c:catAx>
      <c:valAx>
        <c:axId val="2081233280"/>
        <c:scaling>
          <c:orientation val="minMax"/>
        </c:scaling>
        <c:delete val="1"/>
        <c:axPos val="l"/>
        <c:numFmt formatCode="General" sourceLinked="1"/>
        <c:majorTickMark val="none"/>
        <c:minorTickMark val="none"/>
        <c:tickLblPos val="nextTo"/>
        <c:crossAx val="4843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2025-2026</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696653203323671E-2"/>
          <c:y val="0.19595159515951596"/>
          <c:w val="0.86713230794337237"/>
          <c:h val="0.5898911150957615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0-7300-4B3B-B6B4-22B3D7C2C8F4}"/>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Lit>
          </c:cat>
          <c:val>
            <c:numLit>
              <c:formatCode>General</c:formatCode>
              <c:ptCount val="12"/>
            </c:numLit>
          </c:val>
          <c:extLst>
            <c:ext xmlns:c16="http://schemas.microsoft.com/office/drawing/2014/chart" uri="{C3380CC4-5D6E-409C-BE32-E72D297353CC}">
              <c16:uniqueId val="{00000001-7300-4B3B-B6B4-22B3D7C2C8F4}"/>
            </c:ext>
          </c:extLst>
        </c:ser>
        <c:dLbls>
          <c:dLblPos val="outEnd"/>
          <c:showLegendKey val="0"/>
          <c:showVal val="1"/>
          <c:showCatName val="0"/>
          <c:showSerName val="0"/>
          <c:showPercent val="0"/>
          <c:showBubbleSize val="0"/>
        </c:dLbls>
        <c:gapWidth val="444"/>
        <c:overlap val="-90"/>
        <c:axId val="48435792"/>
        <c:axId val="2081233280"/>
      </c:barChart>
      <c:catAx>
        <c:axId val="48435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81233280"/>
        <c:crosses val="autoZero"/>
        <c:auto val="1"/>
        <c:lblAlgn val="ctr"/>
        <c:lblOffset val="100"/>
        <c:noMultiLvlLbl val="0"/>
      </c:catAx>
      <c:valAx>
        <c:axId val="2081233280"/>
        <c:scaling>
          <c:orientation val="minMax"/>
        </c:scaling>
        <c:delete val="1"/>
        <c:axPos val="l"/>
        <c:numFmt formatCode="General" sourceLinked="1"/>
        <c:majorTickMark val="none"/>
        <c:minorTickMark val="none"/>
        <c:tickLblPos val="nextTo"/>
        <c:crossAx val="4843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104775</xdr:colOff>
      <xdr:row>7</xdr:row>
      <xdr:rowOff>114300</xdr:rowOff>
    </xdr:from>
    <xdr:to>
      <xdr:col>7</xdr:col>
      <xdr:colOff>533399</xdr:colOff>
      <xdr:row>19</xdr:row>
      <xdr:rowOff>381000</xdr:rowOff>
    </xdr:to>
    <xdr:graphicFrame macro="">
      <xdr:nvGraphicFramePr>
        <xdr:cNvPr id="2" name="Chart 1">
          <a:extLst>
            <a:ext uri="{FF2B5EF4-FFF2-40B4-BE49-F238E27FC236}">
              <a16:creationId xmlns:a16="http://schemas.microsoft.com/office/drawing/2014/main" id="{17357078-5C7D-495B-9972-79DCAE21F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7</xdr:row>
      <xdr:rowOff>114300</xdr:rowOff>
    </xdr:from>
    <xdr:to>
      <xdr:col>7</xdr:col>
      <xdr:colOff>533399</xdr:colOff>
      <xdr:row>19</xdr:row>
      <xdr:rowOff>381000</xdr:rowOff>
    </xdr:to>
    <xdr:graphicFrame macro="">
      <xdr:nvGraphicFramePr>
        <xdr:cNvPr id="3" name="Chart 2">
          <a:extLst>
            <a:ext uri="{FF2B5EF4-FFF2-40B4-BE49-F238E27FC236}">
              <a16:creationId xmlns:a16="http://schemas.microsoft.com/office/drawing/2014/main" id="{9CBAF653-1466-4A12-A9C2-84442CF6D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104775</xdr:colOff>
      <xdr:row>7</xdr:row>
      <xdr:rowOff>114300</xdr:rowOff>
    </xdr:from>
    <xdr:to>
      <xdr:col>7</xdr:col>
      <xdr:colOff>533399</xdr:colOff>
      <xdr:row>19</xdr:row>
      <xdr:rowOff>381000</xdr:rowOff>
    </xdr:to>
    <xdr:graphicFrame macro="">
      <xdr:nvGraphicFramePr>
        <xdr:cNvPr id="3" name="Chart 2">
          <a:extLst>
            <a:ext uri="{FF2B5EF4-FFF2-40B4-BE49-F238E27FC236}">
              <a16:creationId xmlns:a16="http://schemas.microsoft.com/office/drawing/2014/main" id="{78AC6A58-8C6E-4E48-8B85-ABC282286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7</xdr:row>
      <xdr:rowOff>114300</xdr:rowOff>
    </xdr:from>
    <xdr:to>
      <xdr:col>7</xdr:col>
      <xdr:colOff>533399</xdr:colOff>
      <xdr:row>19</xdr:row>
      <xdr:rowOff>381000</xdr:rowOff>
    </xdr:to>
    <xdr:graphicFrame macro="">
      <xdr:nvGraphicFramePr>
        <xdr:cNvPr id="2" name="Chart 1">
          <a:extLst>
            <a:ext uri="{FF2B5EF4-FFF2-40B4-BE49-F238E27FC236}">
              <a16:creationId xmlns:a16="http://schemas.microsoft.com/office/drawing/2014/main" id="{7F772704-3828-4330-93DD-80E3380A6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104775</xdr:colOff>
      <xdr:row>7</xdr:row>
      <xdr:rowOff>114300</xdr:rowOff>
    </xdr:from>
    <xdr:to>
      <xdr:col>15</xdr:col>
      <xdr:colOff>533399</xdr:colOff>
      <xdr:row>19</xdr:row>
      <xdr:rowOff>381000</xdr:rowOff>
    </xdr:to>
    <xdr:graphicFrame macro="">
      <xdr:nvGraphicFramePr>
        <xdr:cNvPr id="4" name="Chart 3">
          <a:extLst>
            <a:ext uri="{FF2B5EF4-FFF2-40B4-BE49-F238E27FC236}">
              <a16:creationId xmlns:a16="http://schemas.microsoft.com/office/drawing/2014/main" id="{11264A1E-C15E-4BB1-AE32-883DBD8CD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104775</xdr:colOff>
      <xdr:row>7</xdr:row>
      <xdr:rowOff>114300</xdr:rowOff>
    </xdr:from>
    <xdr:to>
      <xdr:col>23</xdr:col>
      <xdr:colOff>533399</xdr:colOff>
      <xdr:row>19</xdr:row>
      <xdr:rowOff>381000</xdr:rowOff>
    </xdr:to>
    <xdr:graphicFrame macro="">
      <xdr:nvGraphicFramePr>
        <xdr:cNvPr id="6" name="Chart 5">
          <a:extLst>
            <a:ext uri="{FF2B5EF4-FFF2-40B4-BE49-F238E27FC236}">
              <a16:creationId xmlns:a16="http://schemas.microsoft.com/office/drawing/2014/main" id="{31633D22-67B7-4BC4-9669-092097088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C36C50-C119-47AB-8FD7-5B04A1F291C2}" name="Table132" displayName="Table132" ref="A6:G12" totalsRowCount="1" headerRowDxfId="4895" dataDxfId="4894" tableBorderDxfId="4893" totalsRowBorderDxfId="4892">
  <autoFilter ref="A6:G11" xr:uid="{D6C36C50-C119-47AB-8FD7-5B04A1F291C2}"/>
  <tableColumns count="7">
    <tableColumn id="1" xr3:uid="{B9849EEC-A211-4389-A6E0-6E34987DCBEE}" name="Activities completed (select from the dropdown list)" totalsRowDxfId="4891"/>
    <tableColumn id="7" xr3:uid="{979008D3-8287-4B9D-93FC-53FF42F4A04E}" name="Describe the activity. What was done? What was the topic? How does this support your strategy? What was the desired outcome of this activity? Please be as descriptive/detailed as possible." dataDxfId="4890" totalsRowDxfId="4889"/>
    <tableColumn id="3" xr3:uid="{CD1D8D02-A9DC-40AD-AF8C-C1A33EF30949}" name="# of hours" totalsRowFunction="custom" dataDxfId="4888" totalsRowDxfId="4887">
      <totalsRowFormula>SUM(Table132['# of hours])</totalsRowFormula>
    </tableColumn>
    <tableColumn id="9" xr3:uid="{6E30357A-0300-4179-BD39-BCB92A36F499}" name="# of people reached" totalsRowFunction="custom" dataDxfId="4886" totalsRowDxfId="4885">
      <totalsRowFormula>SUM(Table132['# of people reached])</totalsRowFormula>
    </tableColumn>
    <tableColumn id="10" xr3:uid="{6529EE8D-5488-4CB3-B6CB-011062630243}" name="# of participants" totalsRowFunction="custom" dataDxfId="4884" totalsRowDxfId="4883">
      <totalsRowFormula>SUM(Table132['# of participants])</totalsRowFormula>
    </tableColumn>
    <tableColumn id="11" xr3:uid="{F96B1508-FAC4-4EC3-A2AD-A07448823793}" name="# of items handed out" totalsRowFunction="sum" dataDxfId="4882" totalsRowDxfId="4881"/>
    <tableColumn id="12" xr3:uid="{E3FBE8F2-ECE4-424B-87EA-86453A0F66A0}" name="Reimbursement Amount Requested" totalsRowFunction="sum" dataDxfId="4880" totalsRowDxfId="4879"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21B4A3-55F4-4026-819D-FC0EC26D9E6E}" name="Table1326" displayName="Table1326" ref="A18:G29" totalsRowCount="1" headerRowDxfId="4878" dataDxfId="4877" tableBorderDxfId="4876" totalsRowBorderDxfId="4875">
  <autoFilter ref="A18:G28" xr:uid="{5821B4A3-55F4-4026-819D-FC0EC26D9E6E}"/>
  <tableColumns count="7">
    <tableColumn id="1" xr3:uid="{72DF1F23-F762-4D4F-9F4F-EDFC4E13DBCB}" name="Activities completed (select from the dropdown list)" totalsRowDxfId="4874"/>
    <tableColumn id="7" xr3:uid="{BCA8B767-10EC-4821-9170-86C7216AE1AD}" name="Describe the activity. What was done? What was the topic? How does this support your strategy? What was the desired outcome of this activity? Please be as descriptive/detailed as possible." dataDxfId="4873" totalsRowDxfId="4872"/>
    <tableColumn id="3" xr3:uid="{2A49D5A3-55EE-43EE-8769-F4F192601140}" name="# of hours" totalsRowFunction="custom" dataDxfId="4871" totalsRowDxfId="4870">
      <totalsRowFormula>SUM(Table1326['# of hours])</totalsRowFormula>
    </tableColumn>
    <tableColumn id="9" xr3:uid="{CB4AC7EB-1D34-4E19-AB9B-0C1D555B185F}" name="# of people reached" totalsRowFunction="custom" dataDxfId="4869" totalsRowDxfId="4868">
      <totalsRowFormula>SUM(Table1326['# of people reached])</totalsRowFormula>
    </tableColumn>
    <tableColumn id="10" xr3:uid="{4CE1AF30-A4F2-44A7-ACA5-BE3F60B0B756}" name="# of participants" totalsRowFunction="custom" dataDxfId="4867" totalsRowDxfId="4866">
      <totalsRowFormula>SUM(Table1326['# of participants])</totalsRowFormula>
    </tableColumn>
    <tableColumn id="11" xr3:uid="{CBB588B2-DFCE-40BB-B8CB-51C70D3F7FEF}" name="# of items handed out" totalsRowFunction="sum" dataDxfId="4865" totalsRowDxfId="4864"/>
    <tableColumn id="12" xr3:uid="{88418BD5-D3C4-4521-9BA4-676EB9AB8D68}" name="Reimbursement Amount Requested" totalsRowFunction="sum" dataDxfId="4863" totalsRowDxfId="4862" dataCellStyle="Currency" totalsRow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C5E4C86-E09F-41C2-B85F-8950173A9F4C}" name="Table13267" displayName="Table13267" ref="A35:G41" totalsRowCount="1" headerRowDxfId="4861" dataDxfId="4860" tableBorderDxfId="4859" totalsRowBorderDxfId="4858">
  <autoFilter ref="A35:G40" xr:uid="{8C5E4C86-E09F-41C2-B85F-8950173A9F4C}"/>
  <tableColumns count="7">
    <tableColumn id="1" xr3:uid="{A22483B0-6158-4F81-8FB5-714EC34E5553}" name="Activities completed (select from the dropdown list)" totalsRowDxfId="4857"/>
    <tableColumn id="7" xr3:uid="{2F78564E-A73C-4B0C-8F0B-EB797A6D587E}" name="Describe the activity. What was done? What was the topic? How does this support your strategy? What was the desired outcome of this activity? Please be as descriptive/detailed as possible." dataDxfId="4856" totalsRowDxfId="4855"/>
    <tableColumn id="3" xr3:uid="{9DC4C29B-CFE6-4CC8-8233-BD0DB5C453EB}" name="# of hours" totalsRowFunction="custom" dataDxfId="4854" totalsRowDxfId="4853">
      <totalsRowFormula>SUM(Table13267['# of hours])</totalsRowFormula>
    </tableColumn>
    <tableColumn id="9" xr3:uid="{BA05A06E-F463-4E8E-A21F-8A676192E0D8}" name="# of people reached" totalsRowFunction="custom" dataDxfId="4852" totalsRowDxfId="4851">
      <totalsRowFormula>SUM(Table13267['# of people reached])</totalsRowFormula>
    </tableColumn>
    <tableColumn id="10" xr3:uid="{645E004A-F433-445F-9861-F69870A3B665}" name="# of participants" totalsRowFunction="custom" dataDxfId="4850" totalsRowDxfId="4849">
      <totalsRowFormula>SUM(Table13267['# of participants])</totalsRowFormula>
    </tableColumn>
    <tableColumn id="11" xr3:uid="{7261B1AD-C919-4D9C-8FBF-DBCA89371B62}" name="# of items handed out" totalsRowFunction="sum" dataDxfId="4848" totalsRowDxfId="4847"/>
    <tableColumn id="12" xr3:uid="{71DF9945-EECE-46D5-9A73-4FC1D512F884}" name="Reimbursement Amount Requested" totalsRowFunction="sum" dataDxfId="4846" totalsRowDxfId="4845" dataCellStyle="Currency" totalsRowCellStyle="Currenc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3E9F3CF-5EB3-4A50-9CA4-6EDA80E82E39}" name="Table132678" displayName="Table132678" ref="A47:G53" totalsRowCount="1" headerRowDxfId="4844" dataDxfId="4843" tableBorderDxfId="4842" totalsRowBorderDxfId="4841">
  <autoFilter ref="A47:G52" xr:uid="{63E9F3CF-5EB3-4A50-9CA4-6EDA80E82E39}"/>
  <tableColumns count="7">
    <tableColumn id="1" xr3:uid="{0122DFEB-8515-48BE-8C61-B73FB3A01C6F}" name="Activities completed (select from the dropdown list)" totalsRowDxfId="4840"/>
    <tableColumn id="7" xr3:uid="{EA7A0F88-937E-473F-B44F-736F0D9174C4}" name="Describe the activity. What was done? What was the topic? How does this support your strategy? What was the desired outcome of this activity? Please be as descriptive/detailed as possible." dataDxfId="4839" totalsRowDxfId="4838"/>
    <tableColumn id="3" xr3:uid="{87D2CED9-A323-4414-824C-26A507D9B9C3}" name="# of hours" totalsRowFunction="custom" dataDxfId="4837" totalsRowDxfId="4836">
      <totalsRowFormula>SUM(Table132678['# of hours])</totalsRowFormula>
    </tableColumn>
    <tableColumn id="9" xr3:uid="{52959A7B-0EB2-4DF9-81AE-4827CAD734D8}" name="# of people reached" totalsRowFunction="custom" dataDxfId="4835" totalsRowDxfId="4834">
      <totalsRowFormula>SUM(Table132678['# of people reached])</totalsRowFormula>
    </tableColumn>
    <tableColumn id="10" xr3:uid="{927BAEEF-A383-4DA3-9FA0-61DDEC3E9B60}" name="# of participants" totalsRowFunction="custom" dataDxfId="4833" totalsRowDxfId="4832">
      <totalsRowFormula>SUM(Table132678['# of participants])</totalsRowFormula>
    </tableColumn>
    <tableColumn id="11" xr3:uid="{68DBBCA4-8804-42CF-BE54-784AEF74BD8A}" name="# of items handed out" totalsRowFunction="sum" dataDxfId="4831" totalsRowDxfId="4830"/>
    <tableColumn id="12" xr3:uid="{808994E3-4BD3-47F7-9A60-AC018F3E78B2}" name="Reimbursement Amount Requested" totalsRowFunction="sum" dataDxfId="4829" totalsRowDxfId="4828"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76ECDDA-A606-4C07-9CFC-4B9B2F2AB8DB}" name="Table1326789" displayName="Table1326789" ref="A59:G62" totalsRowCount="1" headerRowDxfId="4827" dataDxfId="4826" tableBorderDxfId="4825" totalsRowBorderDxfId="4824">
  <autoFilter ref="A59:G61" xr:uid="{D76ECDDA-A606-4C07-9CFC-4B9B2F2AB8DB}"/>
  <tableColumns count="7">
    <tableColumn id="1" xr3:uid="{E0990645-35E4-4BF6-BDA8-3DEF580C1C99}" name="Activities completed (select from the dropdown list)" totalsRowDxfId="4823"/>
    <tableColumn id="7" xr3:uid="{3F50ADEA-D312-4616-923C-EB32D5E6AEDF}" name="Describe the activity. What was done? What was the topic? How does this support your strategy? What was the desired outcome of this activity? Please be as descriptive/detailed as possible." dataDxfId="4822" totalsRowDxfId="4821"/>
    <tableColumn id="3" xr3:uid="{5F4BB2AE-0211-40CE-9E9F-3C3227244896}" name="# of hours" totalsRowFunction="custom" dataDxfId="4820" totalsRowDxfId="4819">
      <totalsRowFormula>SUM(Table1326789['# of hours])</totalsRowFormula>
    </tableColumn>
    <tableColumn id="9" xr3:uid="{48040B2F-D93C-42FD-8C4C-56DA63C35A52}" name="# of people reached" totalsRowFunction="custom" dataDxfId="4818" totalsRowDxfId="4817">
      <totalsRowFormula>SUM(Table1326789['# of people reached])</totalsRowFormula>
    </tableColumn>
    <tableColumn id="10" xr3:uid="{D880DDA7-77FE-4E21-B0DE-9EC3A05FA2D7}" name="# of participants" totalsRowFunction="custom" dataDxfId="4816" totalsRowDxfId="4815">
      <totalsRowFormula>SUM(Table1326789['# of participants])</totalsRowFormula>
    </tableColumn>
    <tableColumn id="11" xr3:uid="{75B67C76-B358-4B5F-805A-204D0D968B09}" name="# of items handed out" totalsRowFunction="sum" dataDxfId="4814" totalsRowDxfId="4813"/>
    <tableColumn id="12" xr3:uid="{C14D1470-23BC-4D01-860B-7A72E10B254C}" name="Reimbursement Amount Requested" totalsRowFunction="sum" dataDxfId="4812" totalsRowDxfId="4811" dataCellStyle="Currenc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818D69D-EDB7-4C52-A2B3-35FF92AD49AA}" name="Table13267810" displayName="Table13267810" ref="A68:G74" totalsRowCount="1" headerRowDxfId="4810" dataDxfId="4809" tableBorderDxfId="4808" totalsRowBorderDxfId="4807">
  <autoFilter ref="A68:G73" xr:uid="{E818D69D-EDB7-4C52-A2B3-35FF92AD49AA}"/>
  <tableColumns count="7">
    <tableColumn id="1" xr3:uid="{4A41FFAD-9409-4FD2-BF6C-E131F3A42553}" name="Activities completed (select from the dropdown list)" totalsRowDxfId="4806"/>
    <tableColumn id="7" xr3:uid="{7CDC7223-687A-4C98-BA20-ED64AF0AA5D8}" name="Describe the activity. What was done? What was the topic? How does this support your strategy? What was the desired outcome of this activity? Please be as descriptive/detailed as possible." dataDxfId="4805" totalsRowDxfId="4804"/>
    <tableColumn id="3" xr3:uid="{DBA89849-0F74-4BC3-8860-71DA9450AE80}" name="# of hours" totalsRowFunction="custom" dataDxfId="4803" totalsRowDxfId="4802">
      <totalsRowFormula>SUM(Table13267810['# of hours])</totalsRowFormula>
    </tableColumn>
    <tableColumn id="9" xr3:uid="{07DF9399-B6F9-456B-BDCC-7D3AB00CDA26}" name="# of people reached" totalsRowFunction="custom" dataDxfId="4801" totalsRowDxfId="4800">
      <totalsRowFormula>SUM(Table13267810['# of people reached])</totalsRowFormula>
    </tableColumn>
    <tableColumn id="10" xr3:uid="{AE26D77A-A2DE-43A5-9B63-F613805BF1FC}" name="# of participants" totalsRowFunction="custom" dataDxfId="4799" totalsRowDxfId="4798">
      <totalsRowFormula>SUM(Table13267810['# of participants])</totalsRowFormula>
    </tableColumn>
    <tableColumn id="11" xr3:uid="{A116018E-5204-48C5-ABE9-31E836B7CC76}" name="# of items handed out" totalsRowFunction="sum" dataDxfId="4797" totalsRowDxfId="4796"/>
    <tableColumn id="12" xr3:uid="{04D2F823-871C-4A48-9AB6-02D309669D5A}" name="Reimbursement Amount Requested" totalsRowFunction="sum" dataDxfId="4795" totalsRowDxfId="4794" dataCellStyle="Currency" totalsRowCellStyle="Currency"/>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60A6C51-2C69-48B4-9496-45BD3DF4D4F3}" name="Table1326781011" displayName="Table1326781011" ref="A80:G86" totalsRowCount="1" headerRowDxfId="4793" dataDxfId="4792" tableBorderDxfId="4791" totalsRowBorderDxfId="4790">
  <autoFilter ref="A80:G85" xr:uid="{F60A6C51-2C69-48B4-9496-45BD3DF4D4F3}"/>
  <tableColumns count="7">
    <tableColumn id="1" xr3:uid="{C055C0A4-3BD2-470E-AB20-929A6DF42892}" name="Activities completed (select from the dropdown list)" totalsRowDxfId="4789"/>
    <tableColumn id="7" xr3:uid="{6C165ED3-EC7D-4B6B-B571-B5BB6FF3E765}" name="Describe the activity. What was done? What was the topic? How does this support your strategy? What was the desired outcome of this activity? Please be as descriptive/detailed as possible." dataDxfId="4788" totalsRowDxfId="4787"/>
    <tableColumn id="3" xr3:uid="{99149D96-53AF-42CE-996F-987A76D60DD5}" name="# of hours" totalsRowFunction="custom" dataDxfId="4786" totalsRowDxfId="4785">
      <totalsRowFormula>SUM(Table1326781011['# of hours])</totalsRowFormula>
    </tableColumn>
    <tableColumn id="9" xr3:uid="{943F36E1-B64F-4AE6-B1CA-4C655033A256}" name="# of people reached" totalsRowFunction="custom" dataDxfId="4784" totalsRowDxfId="4783">
      <totalsRowFormula>SUM(Table1326781011['# of people reached])</totalsRowFormula>
    </tableColumn>
    <tableColumn id="10" xr3:uid="{B8D6DB60-59A3-45DC-8656-BD95A22E1CAD}" name="# of participants" totalsRowFunction="custom" dataDxfId="4782" totalsRowDxfId="4781">
      <totalsRowFormula>SUM(Table1326781011['# of participants])</totalsRowFormula>
    </tableColumn>
    <tableColumn id="11" xr3:uid="{E8C816DB-A5B7-4E46-9D70-CC5676AB13F7}" name="# of items handed out" totalsRowFunction="sum" dataDxfId="4780" totalsRowDxfId="4779"/>
    <tableColumn id="12" xr3:uid="{E1EAAEBC-0349-4BBC-9B9C-1ADD861D3304}" name="Reimbursement Amount Requested" totalsRowFunction="sum" dataDxfId="4778" totalsRowDxfId="4777" dataCellStyle="Currency" totalsRow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D2BB691-AA50-4E9F-B5B7-F7C355702F00}" name="Table132678101112" displayName="Table132678101112" ref="A92:G98" totalsRowCount="1" headerRowDxfId="4776" dataDxfId="4775" tableBorderDxfId="4774" totalsRowBorderDxfId="4773">
  <autoFilter ref="A92:G97" xr:uid="{AD2BB691-AA50-4E9F-B5B7-F7C355702F00}"/>
  <tableColumns count="7">
    <tableColumn id="1" xr3:uid="{92D29B85-1A98-4B4E-9D04-BCBAA7B1A616}" name="Activities completed (select from the dropdown list)" totalsRowDxfId="4772"/>
    <tableColumn id="7" xr3:uid="{1DACBBFF-97BC-4474-B61E-88285C62DF2B}" name="Describe the activity. What was done? What was the topic? How does this support your strategy? What was the desired outcome of this activity? Please be as descriptive/detailed as possible." dataDxfId="4771" totalsRowDxfId="4770"/>
    <tableColumn id="3" xr3:uid="{09F7DEE5-8472-4CDD-9592-62FE59BA322D}" name="# of hours" totalsRowFunction="custom" dataDxfId="4769" totalsRowDxfId="4768">
      <totalsRowFormula>SUM(Table132678101112['# of hours])</totalsRowFormula>
    </tableColumn>
    <tableColumn id="9" xr3:uid="{7F3911E7-6742-4629-96D1-37110981011A}" name="# of people reached" totalsRowFunction="custom" dataDxfId="4767" totalsRowDxfId="4766">
      <totalsRowFormula>SUM(Table132678101112['# of people reached])</totalsRowFormula>
    </tableColumn>
    <tableColumn id="10" xr3:uid="{925599B3-3885-4B46-8EB6-3D5E0A631025}" name="# of participants" totalsRowFunction="custom" dataDxfId="4765" totalsRowDxfId="4764">
      <totalsRowFormula>SUM(Table132678101112['# of participants])</totalsRowFormula>
    </tableColumn>
    <tableColumn id="11" xr3:uid="{AE959ABC-2206-4D25-A9D1-FCAA9D262906}" name="# of items handed out" totalsRowFunction="sum" dataDxfId="4763" totalsRowDxfId="4762"/>
    <tableColumn id="12" xr3:uid="{C15F05B2-511D-408C-A1F5-F5DECAFD3246}" name="Reimbursement Amount Requested" totalsRowFunction="sum" dataDxfId="4761" totalsRowDxfId="4760"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1" xr:uid="{D3D168BF-CCF1-4963-9C3D-15BE22BC6688}" name="Table132442" displayName="Table132442" ref="A6:G12" totalsRowCount="1" headerRowDxfId="4759" dataDxfId="4758" tableBorderDxfId="4757" totalsRowBorderDxfId="4756">
  <autoFilter ref="A6:G11" xr:uid="{D3D168BF-CCF1-4963-9C3D-15BE22BC6688}"/>
  <tableColumns count="7">
    <tableColumn id="1" xr3:uid="{778CB938-8133-475C-BD3D-2A9539C2558B}" name="Activities completed (select from the dropdown list)" totalsRowDxfId="4755"/>
    <tableColumn id="7" xr3:uid="{77C8A1B5-73BA-4748-B7C2-C93D425A6E9C}" name="Describe the activity. What was done? What was the topic? How does this support your strategy? What was the desired outcome of this activity? Please be as descriptive/detailed as possible." dataDxfId="4754" totalsRowDxfId="4753"/>
    <tableColumn id="3" xr3:uid="{DF591938-EDF1-405D-BA14-B9BA1EC8E8C3}" name="# of hours" totalsRowFunction="custom" dataDxfId="4752" totalsRowDxfId="4751">
      <totalsRowFormula>SUM(Table132442['# of hours])</totalsRowFormula>
    </tableColumn>
    <tableColumn id="9" xr3:uid="{5472D709-DCD4-495E-8142-2ADC37EA1514}" name="# of people reached" totalsRowFunction="custom" dataDxfId="4750" totalsRowDxfId="4749">
      <totalsRowFormula>SUM(Table132442['# of people reached])</totalsRowFormula>
    </tableColumn>
    <tableColumn id="10" xr3:uid="{051CFD01-A8DC-4249-BA5F-3BFE0F93FA47}" name="# of participants" totalsRowFunction="custom" dataDxfId="4748" totalsRowDxfId="4747">
      <totalsRowFormula>SUM(Table132442['# of participants])</totalsRowFormula>
    </tableColumn>
    <tableColumn id="11" xr3:uid="{DE9194FB-2992-41CE-AD02-1A374F789371}" name="# of items handed out" totalsRowFunction="sum" dataDxfId="4746" totalsRowDxfId="4745"/>
    <tableColumn id="12" xr3:uid="{28FF8F96-DEA3-471E-95B3-572E924FF240}" name="Reimbursement Amount Requested" totalsRowFunction="sum" dataDxfId="4744" totalsRowDxfId="4743" dataCellStyle="Currency"/>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2" xr:uid="{779CEB75-BB00-4F80-8199-F417113765B1}" name="Table1326443" displayName="Table1326443" ref="A18:G29" totalsRowCount="1" headerRowDxfId="4742" dataDxfId="4741" tableBorderDxfId="4740" totalsRowBorderDxfId="4739">
  <autoFilter ref="A18:G28" xr:uid="{779CEB75-BB00-4F80-8199-F417113765B1}"/>
  <tableColumns count="7">
    <tableColumn id="1" xr3:uid="{A27719C6-709B-4442-89A3-24211B48C801}" name="Activities completed (select from the dropdown list)" totalsRowDxfId="4738"/>
    <tableColumn id="7" xr3:uid="{A71297E2-7470-4B4A-8811-BABB9FE41D0E}" name="Describe the activity. What was done? What was the topic? How does this support your strategy? What was the desired outcome of this activity? Please be as descriptive/detailed as possible." dataDxfId="4737" totalsRowDxfId="4736"/>
    <tableColumn id="3" xr3:uid="{415698C6-8E11-42DE-ADB7-B2EF87C6990D}" name="# of hours" totalsRowFunction="custom" dataDxfId="4735" totalsRowDxfId="4734">
      <totalsRowFormula>SUM(Table1326443['# of hours])</totalsRowFormula>
    </tableColumn>
    <tableColumn id="9" xr3:uid="{575C8F88-38D1-4FBB-886A-B8B5E333FED0}" name="# of people reached" totalsRowFunction="custom" dataDxfId="4733" totalsRowDxfId="4732">
      <totalsRowFormula>SUM(Table1326443['# of people reached])</totalsRowFormula>
    </tableColumn>
    <tableColumn id="10" xr3:uid="{8928D26D-4382-4695-A997-BA6D59840DA1}" name="# of participants" totalsRowFunction="custom" dataDxfId="4731" totalsRowDxfId="4730">
      <totalsRowFormula>SUM(Table1326443['# of participants])</totalsRowFormula>
    </tableColumn>
    <tableColumn id="11" xr3:uid="{F6A81C0D-5F3E-4130-A5B7-160B9784F9B4}" name="# of items handed out" totalsRowFunction="sum" dataDxfId="4729" totalsRowDxfId="4728"/>
    <tableColumn id="12" xr3:uid="{5469BE3E-96AA-4C05-827D-41D590AF6ADF}" name="Reimbursement Amount Requested" totalsRowFunction="sum" dataDxfId="4727" totalsRowDxfId="4726" dataCellStyle="Currency" totalsRowCellStyle="Currency"/>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3" xr:uid="{510029C6-AD38-4918-9265-BA22E55744CD}" name="Table13267444" displayName="Table13267444" ref="A35:G41" totalsRowCount="1" headerRowDxfId="4725" dataDxfId="4724" tableBorderDxfId="4723" totalsRowBorderDxfId="4722">
  <autoFilter ref="A35:G40" xr:uid="{510029C6-AD38-4918-9265-BA22E55744CD}"/>
  <tableColumns count="7">
    <tableColumn id="1" xr3:uid="{7A38A325-15D7-4AE5-900F-1A6BA91D8580}" name="Activities completed (select from the dropdown list)" totalsRowDxfId="4721"/>
    <tableColumn id="7" xr3:uid="{4116CC52-F631-42AF-B294-70809AA68406}" name="Describe the activity. What was done? What was the topic? How does this support your strategy? What was the desired outcome of this activity? Please be as descriptive/detailed as possible." dataDxfId="4720" totalsRowDxfId="4719"/>
    <tableColumn id="3" xr3:uid="{B0C95E82-86C0-4C57-9FFE-22E5FDAA00E2}" name="# of hours" totalsRowFunction="custom" dataDxfId="4718" totalsRowDxfId="4717">
      <totalsRowFormula>SUM(Table13267444['# of hours])</totalsRowFormula>
    </tableColumn>
    <tableColumn id="9" xr3:uid="{D59D3E79-DE48-4EC6-A5A6-02F0095F0D40}" name="# of people reached" totalsRowFunction="custom" dataDxfId="4716" totalsRowDxfId="4715">
      <totalsRowFormula>SUM(Table13267444['# of people reached])</totalsRowFormula>
    </tableColumn>
    <tableColumn id="10" xr3:uid="{CBD17CA9-7BC3-4BE7-A7A1-C6101423BAE3}" name="# of participants" totalsRowFunction="custom" dataDxfId="4714" totalsRowDxfId="4713">
      <totalsRowFormula>SUM(Table13267444['# of participants])</totalsRowFormula>
    </tableColumn>
    <tableColumn id="11" xr3:uid="{743A1F87-1101-4AA0-BA83-7913ACA4493C}" name="# of items handed out" totalsRowFunction="sum" dataDxfId="4712" totalsRowDxfId="4711"/>
    <tableColumn id="12" xr3:uid="{1395215C-411D-4D96-8025-A31DC34BB82A}" name="Reimbursement Amount Requested" totalsRowFunction="sum" dataDxfId="4710" totalsRowDxfId="4709" dataCellStyle="Currency" totalsRowCellStyle="Currency"/>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4" xr:uid="{1C95ED91-CF7A-4894-A9EE-33ADB570FFFB}" name="Table132678445" displayName="Table132678445" ref="A47:G53" totalsRowCount="1" headerRowDxfId="4708" dataDxfId="4707" tableBorderDxfId="4706" totalsRowBorderDxfId="4705">
  <autoFilter ref="A47:G52" xr:uid="{1C95ED91-CF7A-4894-A9EE-33ADB570FFFB}"/>
  <tableColumns count="7">
    <tableColumn id="1" xr3:uid="{00409B03-EE75-4FEB-8457-FAC03A59026A}" name="Activities completed (select from the dropdown list)" totalsRowDxfId="4704"/>
    <tableColumn id="7" xr3:uid="{D4075377-0069-4FD5-97A5-8B95B2E34E7C}" name="Describe the activity. What was done? What was the topic? How does this support your strategy? What was the desired outcome of this activity? Please be as descriptive/detailed as possible." dataDxfId="4703" totalsRowDxfId="4702"/>
    <tableColumn id="3" xr3:uid="{41251228-9809-461D-846D-ADB7E5817539}" name="# of hours" totalsRowFunction="custom" dataDxfId="4701" totalsRowDxfId="4700">
      <totalsRowFormula>SUM(Table132678445['# of hours])</totalsRowFormula>
    </tableColumn>
    <tableColumn id="9" xr3:uid="{5213AB77-571B-4D08-AB0D-AD892E8A5A63}" name="# of people reached" totalsRowFunction="custom" dataDxfId="4699" totalsRowDxfId="4698">
      <totalsRowFormula>SUM(Table132678445['# of people reached])</totalsRowFormula>
    </tableColumn>
    <tableColumn id="10" xr3:uid="{9E053D29-B58B-49FB-8E2C-EEBEE87CB0DE}" name="# of participants" totalsRowFunction="custom" dataDxfId="4697" totalsRowDxfId="4696">
      <totalsRowFormula>SUM(Table132678445['# of participants])</totalsRowFormula>
    </tableColumn>
    <tableColumn id="11" xr3:uid="{BBFEE9C4-D6F7-447A-9FEC-5843F998FBE5}" name="# of items handed out" totalsRowFunction="sum" dataDxfId="4695" totalsRowDxfId="4694"/>
    <tableColumn id="12" xr3:uid="{23AFBBE6-D114-4514-BFEC-24F0EA40D392}" name="Reimbursement Amount Requested" totalsRowFunction="sum" dataDxfId="4693" totalsRowDxfId="4692" dataCellStyle="Currency"/>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5" xr:uid="{771D3A9B-7B1E-410A-9270-50B0062AC9BB}" name="Table1326789446" displayName="Table1326789446" ref="A59:G62" totalsRowCount="1" headerRowDxfId="4691" dataDxfId="4690" tableBorderDxfId="4689" totalsRowBorderDxfId="4688">
  <autoFilter ref="A59:G61" xr:uid="{771D3A9B-7B1E-410A-9270-50B0062AC9BB}"/>
  <tableColumns count="7">
    <tableColumn id="1" xr3:uid="{7F72560A-1594-45B7-A3D6-87605C898780}" name="Activities completed (select from the dropdown list)" totalsRowDxfId="4687"/>
    <tableColumn id="7" xr3:uid="{CB4B9E59-6C9E-4945-B298-2124A12FE5A7}" name="Describe the activity. What was done? What was the topic? How does this support your strategy? What was the desired outcome of this activity? Please be as descriptive/detailed as possible." dataDxfId="4686" totalsRowDxfId="4685"/>
    <tableColumn id="3" xr3:uid="{E6FF5401-D79C-426A-9BFF-0522C580A4C3}" name="# of hours" totalsRowFunction="custom" dataDxfId="4684" totalsRowDxfId="4683">
      <totalsRowFormula>SUM(Table1326789446['# of hours])</totalsRowFormula>
    </tableColumn>
    <tableColumn id="9" xr3:uid="{ABF6D452-EAB6-4A8C-A0D8-8C221C4C8105}" name="# of people reached" totalsRowFunction="custom" dataDxfId="4682" totalsRowDxfId="4681">
      <totalsRowFormula>SUM(Table1326789446['# of people reached])</totalsRowFormula>
    </tableColumn>
    <tableColumn id="10" xr3:uid="{307BBE4C-7C63-4E66-9651-2130E4D525A0}" name="# of participants" totalsRowFunction="custom" dataDxfId="4680" totalsRowDxfId="4679">
      <totalsRowFormula>SUM(Table1326789446['# of participants])</totalsRowFormula>
    </tableColumn>
    <tableColumn id="11" xr3:uid="{DB84BB47-A3C9-4DEC-91C4-1902639F66CB}" name="# of items handed out" totalsRowFunction="sum" dataDxfId="4678" totalsRowDxfId="4677"/>
    <tableColumn id="12" xr3:uid="{BB746AA9-3FBF-4FB3-92B5-D54AA375CC5D}" name="Reimbursement Amount Requested" totalsRowFunction="sum" dataDxfId="4676" totalsRowDxfId="4675" dataCellStyle="Currency"/>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6" xr:uid="{2917EFF3-1F3A-494B-A2E0-A60860C3D8B8}" name="Table13267810447" displayName="Table13267810447" ref="A68:G74" totalsRowCount="1" headerRowDxfId="4674" dataDxfId="4673" tableBorderDxfId="4672" totalsRowBorderDxfId="4671">
  <autoFilter ref="A68:G73" xr:uid="{2917EFF3-1F3A-494B-A2E0-A60860C3D8B8}"/>
  <tableColumns count="7">
    <tableColumn id="1" xr3:uid="{5029F7D6-EE46-4C9B-A597-3DC2FD7D9C59}" name="Activities completed (select from the dropdown list)" totalsRowDxfId="4670"/>
    <tableColumn id="7" xr3:uid="{93946E36-FAB1-469F-B15D-91814A563B9E}" name="Describe the activity. What was done? What was the topic? How does this support your strategy? What was the desired outcome of this activity? Please be as descriptive/detailed as possible." dataDxfId="4669" totalsRowDxfId="4668"/>
    <tableColumn id="3" xr3:uid="{060ADF22-F125-4B87-B837-EE02A6300074}" name="# of hours" totalsRowFunction="custom" dataDxfId="4667" totalsRowDxfId="4666">
      <totalsRowFormula>SUM(Table13267810447['# of hours])</totalsRowFormula>
    </tableColumn>
    <tableColumn id="9" xr3:uid="{9C50D03E-7B2B-4761-A489-1D43166D61B3}" name="# of people reached" totalsRowFunction="custom" dataDxfId="4665" totalsRowDxfId="4664">
      <totalsRowFormula>SUM(Table13267810447['# of people reached])</totalsRowFormula>
    </tableColumn>
    <tableColumn id="10" xr3:uid="{3AFB6B2F-5D11-4497-BB6D-E7D91461DD4D}" name="# of participants" totalsRowFunction="custom" dataDxfId="4663" totalsRowDxfId="4662">
      <totalsRowFormula>SUM(Table13267810447['# of participants])</totalsRowFormula>
    </tableColumn>
    <tableColumn id="11" xr3:uid="{00D2AA12-F1C3-4279-AD7D-46A9E08F08CE}" name="# of items handed out" totalsRowFunction="sum" dataDxfId="4661" totalsRowDxfId="4660"/>
    <tableColumn id="12" xr3:uid="{39035F24-CE79-4796-B577-A8B145639AA3}" name="Reimbursement Amount Requested" totalsRowFunction="sum" dataDxfId="4659" totalsRowDxfId="4658" dataCellStyle="Currency" totalsRowCellStyle="Currency"/>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7" xr:uid="{9F87DE79-F6D7-4934-B567-E80DCC943D6D}" name="Table1326781011448" displayName="Table1326781011448" ref="A80:G86" totalsRowCount="1" headerRowDxfId="4657" dataDxfId="4656" tableBorderDxfId="4655" totalsRowBorderDxfId="4654">
  <autoFilter ref="A80:G85" xr:uid="{9F87DE79-F6D7-4934-B567-E80DCC943D6D}"/>
  <tableColumns count="7">
    <tableColumn id="1" xr3:uid="{38D2F780-1405-4433-925F-924245842F5F}" name="Activities completed (select from the dropdown list)" totalsRowDxfId="4653"/>
    <tableColumn id="7" xr3:uid="{1A74F70B-56D5-40D6-93BA-EC9F035FF528}" name="Describe the activity. What was done? What was the topic? How does this support your strategy? What was the desired outcome of this activity? Please be as descriptive/detailed as possible." dataDxfId="4652" totalsRowDxfId="4651"/>
    <tableColumn id="3" xr3:uid="{B31465CC-22E1-4FF5-829E-4A81D940901C}" name="# of hours" totalsRowFunction="custom" dataDxfId="4650" totalsRowDxfId="4649">
      <totalsRowFormula>SUM(Table1326781011448['# of hours])</totalsRowFormula>
    </tableColumn>
    <tableColumn id="9" xr3:uid="{D9ADC6B2-B7FF-4A7A-BF7C-21E9F50C1F2A}" name="# of people reached" totalsRowFunction="custom" dataDxfId="4648" totalsRowDxfId="4647">
      <totalsRowFormula>SUM(Table1326781011448['# of people reached])</totalsRowFormula>
    </tableColumn>
    <tableColumn id="10" xr3:uid="{3CC6FDEA-2CFB-4CE2-9692-0B1FDFF46F68}" name="# of participants" totalsRowFunction="custom" dataDxfId="4646" totalsRowDxfId="4645">
      <totalsRowFormula>SUM(Table1326781011448['# of participants])</totalsRowFormula>
    </tableColumn>
    <tableColumn id="11" xr3:uid="{CFC1BBBA-3916-4E91-802A-19017BA87986}" name="# of items handed out" totalsRowFunction="sum" dataDxfId="4644" totalsRowDxfId="4643"/>
    <tableColumn id="12" xr3:uid="{E8A5B2B6-86B2-48E0-8080-564F039C0594}" name="Reimbursement Amount Requested" totalsRowFunction="sum" dataDxfId="4642" totalsRowDxfId="4641" dataCellStyle="Currency" totalsRowCellStyle="Currency"/>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8" xr:uid="{3205D332-C835-45C7-A33D-2736BBD97530}" name="Table132678101112449" displayName="Table132678101112449" ref="A92:G98" totalsRowCount="1" headerRowDxfId="4640" dataDxfId="4639" tableBorderDxfId="4638" totalsRowBorderDxfId="4637">
  <autoFilter ref="A92:G97" xr:uid="{3205D332-C835-45C7-A33D-2736BBD97530}"/>
  <tableColumns count="7">
    <tableColumn id="1" xr3:uid="{4FE8B77A-6349-45BC-99AF-9BE20A414055}" name="Activities completed (select from the dropdown list)" totalsRowDxfId="4636"/>
    <tableColumn id="7" xr3:uid="{DAE70AC0-7FB6-4DE3-97AF-EED78B115456}" name="Describe the activity. What was done? What was the topic? How does this support your strategy? What was the desired outcome of this activity? Please be as descriptive/detailed as possible." dataDxfId="4635" totalsRowDxfId="4634"/>
    <tableColumn id="3" xr3:uid="{A065B1ED-12A1-4D01-89B8-D3050B57727E}" name="# of hours" totalsRowFunction="custom" dataDxfId="4633" totalsRowDxfId="4632">
      <totalsRowFormula>SUM(Table132678101112449['# of hours])</totalsRowFormula>
    </tableColumn>
    <tableColumn id="9" xr3:uid="{AD8868C9-77A7-4152-BBB6-A0CEBA285D9B}" name="# of people reached" totalsRowFunction="custom" dataDxfId="4631" totalsRowDxfId="4630">
      <totalsRowFormula>SUM(Table132678101112449['# of people reached])</totalsRowFormula>
    </tableColumn>
    <tableColumn id="10" xr3:uid="{1DED3F3C-F5FB-4495-BB9E-BF3F108F0FE8}" name="# of participants" totalsRowFunction="custom" dataDxfId="4629" totalsRowDxfId="4628">
      <totalsRowFormula>SUM(Table132678101112449['# of participants])</totalsRowFormula>
    </tableColumn>
    <tableColumn id="11" xr3:uid="{4F02474E-029E-453C-A464-3587E94F6807}" name="# of items handed out" totalsRowFunction="sum" dataDxfId="4627" totalsRowDxfId="4626"/>
    <tableColumn id="12" xr3:uid="{7894918A-8C2A-4E1C-8F55-A05494DD19EC}" name="Reimbursement Amount Requested" totalsRowFunction="sum" dataDxfId="4625" totalsRowDxfId="4624" dataCellStyle="Currency"/>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9" xr:uid="{5DA12CA4-2F03-4AA2-865B-C7C10045F331}" name="Table132450" displayName="Table132450" ref="A6:G12" totalsRowCount="1" headerRowDxfId="4623" dataDxfId="4622" tableBorderDxfId="4621" totalsRowBorderDxfId="4620">
  <autoFilter ref="A6:G11" xr:uid="{5DA12CA4-2F03-4AA2-865B-C7C10045F331}"/>
  <tableColumns count="7">
    <tableColumn id="1" xr3:uid="{0EA566F4-C8FD-42B2-98A8-EEB1B653AD31}" name="Activities completed (select from the dropdown list)" totalsRowDxfId="4619"/>
    <tableColumn id="7" xr3:uid="{5E4B3146-B313-40BE-ADAD-8D1AA764FFCA}" name="Describe the activity. What was done? What was the topic? How does this support your strategy? What was the desired outcome of this activity? Please be as descriptive/detailed as possible." dataDxfId="4618" totalsRowDxfId="4617"/>
    <tableColumn id="3" xr3:uid="{730C0EE4-249E-4171-A4B4-D83071895288}" name="# of hours" totalsRowFunction="custom" dataDxfId="4616" totalsRowDxfId="4615">
      <totalsRowFormula>SUM(Table132450['# of hours])</totalsRowFormula>
    </tableColumn>
    <tableColumn id="9" xr3:uid="{1CB989D7-C44B-4FF3-B84F-D46AE76E910E}" name="# of people reached" totalsRowFunction="custom" dataDxfId="4614" totalsRowDxfId="4613">
      <totalsRowFormula>SUM(Table132450['# of people reached])</totalsRowFormula>
    </tableColumn>
    <tableColumn id="10" xr3:uid="{E755FE2E-7204-4AE4-8354-2C579AD09445}" name="# of participants" totalsRowFunction="custom" dataDxfId="4612" totalsRowDxfId="4611">
      <totalsRowFormula>SUM(Table132450['# of participants])</totalsRowFormula>
    </tableColumn>
    <tableColumn id="11" xr3:uid="{BFC82285-FC26-4075-AD95-6047C5746CFC}" name="# of items handed out" totalsRowFunction="sum" dataDxfId="4610" totalsRowDxfId="4609"/>
    <tableColumn id="12" xr3:uid="{A1AEC85C-1684-4FF3-9404-67BFBFC9897C}" name="Reimbursement Amount Requested" totalsRowFunction="sum" dataDxfId="4608" totalsRowDxfId="4607" dataCellStyle="Currency"/>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0" xr:uid="{7A477BE1-A9F8-41F8-93FD-C0E33B15167E}" name="Table1326451" displayName="Table1326451" ref="A18:G29" totalsRowCount="1" headerRowDxfId="4606" dataDxfId="4605" tableBorderDxfId="4604" totalsRowBorderDxfId="4603">
  <autoFilter ref="A18:G28" xr:uid="{7A477BE1-A9F8-41F8-93FD-C0E33B15167E}"/>
  <tableColumns count="7">
    <tableColumn id="1" xr3:uid="{D2E36B5F-66D7-4D71-A980-AD7371431D8D}" name="Activities completed (select from the dropdown list)" totalsRowDxfId="4602"/>
    <tableColumn id="7" xr3:uid="{F13D8DEB-605B-4DA1-B511-D6415DDB901B}" name="Describe the activity. What was done? What was the topic? How does this support your strategy? What was the desired outcome of this activity? Please be as descriptive/detailed as possible." dataDxfId="4601" totalsRowDxfId="4600"/>
    <tableColumn id="3" xr3:uid="{63061C84-B8EE-4C53-BC13-EBBC2BECE948}" name="# of hours" totalsRowFunction="custom" dataDxfId="4599" totalsRowDxfId="4598">
      <totalsRowFormula>SUM(Table1326451['# of hours])</totalsRowFormula>
    </tableColumn>
    <tableColumn id="9" xr3:uid="{4DE4EEAA-AF8B-4FCF-883E-FBFD406458AA}" name="# of people reached" totalsRowFunction="custom" dataDxfId="4597" totalsRowDxfId="4596">
      <totalsRowFormula>SUM(Table1326451['# of people reached])</totalsRowFormula>
    </tableColumn>
    <tableColumn id="10" xr3:uid="{F3D4E814-5170-4DFC-978F-B73C83029629}" name="# of participants" totalsRowFunction="custom" dataDxfId="4595" totalsRowDxfId="4594">
      <totalsRowFormula>SUM(Table1326451['# of participants])</totalsRowFormula>
    </tableColumn>
    <tableColumn id="11" xr3:uid="{CD1BFD6C-7C7B-48BB-BC80-D72759EDA762}" name="# of items handed out" totalsRowFunction="sum" dataDxfId="4593" totalsRowDxfId="4592"/>
    <tableColumn id="12" xr3:uid="{4A6E45E6-D731-4243-A959-CB8194E630CF}" name="Reimbursement Amount Requested" totalsRowFunction="sum" dataDxfId="4591" totalsRowDxfId="4590" dataCellStyle="Currency" totalsRowCellStyle="Currency"/>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1" xr:uid="{097210AF-02FC-42C1-9BD7-0EA318414687}" name="Table13267452" displayName="Table13267452" ref="A35:G41" totalsRowCount="1" headerRowDxfId="4589" dataDxfId="4588" tableBorderDxfId="4587" totalsRowBorderDxfId="4586">
  <autoFilter ref="A35:G40" xr:uid="{097210AF-02FC-42C1-9BD7-0EA318414687}"/>
  <tableColumns count="7">
    <tableColumn id="1" xr3:uid="{EA6F6C50-1D30-4A8A-891A-C8C6C6113170}" name="Activities completed (select from the dropdown list)" totalsRowDxfId="4585"/>
    <tableColumn id="7" xr3:uid="{A31F521D-7405-49B7-8D7E-B1E211F215A3}" name="Describe the activity. What was done? What was the topic? How does this support your strategy? What was the desired outcome of this activity? Please be as descriptive/detailed as possible." dataDxfId="4584" totalsRowDxfId="4583"/>
    <tableColumn id="3" xr3:uid="{7AA62202-2E41-4301-B54D-0FE97D6751E6}" name="# of hours" totalsRowFunction="custom" dataDxfId="4582" totalsRowDxfId="4581">
      <totalsRowFormula>SUM(Table13267452['# of hours])</totalsRowFormula>
    </tableColumn>
    <tableColumn id="9" xr3:uid="{EA96B671-B847-4420-B736-E1D510419330}" name="# of people reached" totalsRowFunction="custom" dataDxfId="4580" totalsRowDxfId="4579">
      <totalsRowFormula>SUM(Table13267452['# of people reached])</totalsRowFormula>
    </tableColumn>
    <tableColumn id="10" xr3:uid="{DB8DFF6B-F99C-4CCC-A213-5ECD2454C09B}" name="# of participants" totalsRowFunction="custom" dataDxfId="4578" totalsRowDxfId="4577">
      <totalsRowFormula>SUM(Table13267452['# of participants])</totalsRowFormula>
    </tableColumn>
    <tableColumn id="11" xr3:uid="{5E40A2DD-3DE6-44B5-8E3F-199FB9301567}" name="# of items handed out" totalsRowFunction="sum" dataDxfId="4576" totalsRowDxfId="4575"/>
    <tableColumn id="12" xr3:uid="{9FD571AB-E87A-4CF4-9B0C-C2BA1BA8488E}" name="Reimbursement Amount Requested" totalsRowFunction="sum" dataDxfId="4574" totalsRowDxfId="4573" dataCellStyle="Currency" totalsRowCellStyle="Currency"/>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2" xr:uid="{737230DF-C4F5-43FC-8E1B-3127186CFF3B}" name="Table132678453" displayName="Table132678453" ref="A47:G53" totalsRowCount="1" headerRowDxfId="4572" dataDxfId="4571" tableBorderDxfId="4570" totalsRowBorderDxfId="4569">
  <autoFilter ref="A47:G52" xr:uid="{737230DF-C4F5-43FC-8E1B-3127186CFF3B}"/>
  <tableColumns count="7">
    <tableColumn id="1" xr3:uid="{72A51AA8-F753-4BA8-BDA4-57490D527188}" name="Activities completed (select from the dropdown list)" totalsRowDxfId="4568"/>
    <tableColumn id="7" xr3:uid="{9D764147-4520-4485-9320-AB27D0EE37CD}" name="Describe the activity. What was done? What was the topic? How does this support your strategy? What was the desired outcome of this activity? Please be as descriptive/detailed as possible." dataDxfId="4567" totalsRowDxfId="4566"/>
    <tableColumn id="3" xr3:uid="{2C03A86D-1F7C-4733-8FAF-A42064A889D4}" name="# of hours" totalsRowFunction="custom" dataDxfId="4565" totalsRowDxfId="4564">
      <totalsRowFormula>SUM(Table132678453['# of hours])</totalsRowFormula>
    </tableColumn>
    <tableColumn id="9" xr3:uid="{C438A7F0-7C0B-4D62-AB61-A38641EDC8A7}" name="# of people reached" totalsRowFunction="custom" dataDxfId="4563" totalsRowDxfId="4562">
      <totalsRowFormula>SUM(Table132678453['# of people reached])</totalsRowFormula>
    </tableColumn>
    <tableColumn id="10" xr3:uid="{4BA74789-70CB-4DD6-BB9E-0A2A00336206}" name="# of participants" totalsRowFunction="custom" dataDxfId="4561" totalsRowDxfId="4560">
      <totalsRowFormula>SUM(Table132678453['# of participants])</totalsRowFormula>
    </tableColumn>
    <tableColumn id="11" xr3:uid="{47C9E91B-FBC8-42C0-8B4B-1EB3E2230704}" name="# of items handed out" totalsRowFunction="sum" dataDxfId="4559" totalsRowDxfId="4558"/>
    <tableColumn id="12" xr3:uid="{417F81DE-0CE7-497B-89FA-858938DAF467}" name="Reimbursement Amount Requested" totalsRowFunction="sum" dataDxfId="4557" totalsRowDxfId="4556" dataCellStyle="Currency"/>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3" xr:uid="{A887CE4D-5C97-4E71-BEBA-ACEC6DB09AEC}" name="Table1326789454" displayName="Table1326789454" ref="A59:G62" totalsRowCount="1" headerRowDxfId="4555" dataDxfId="4554" tableBorderDxfId="4553" totalsRowBorderDxfId="4552">
  <autoFilter ref="A59:G61" xr:uid="{A887CE4D-5C97-4E71-BEBA-ACEC6DB09AEC}"/>
  <tableColumns count="7">
    <tableColumn id="1" xr3:uid="{FED82919-7CAC-47BC-9441-D66098D8D2E1}" name="Activities completed (select from the dropdown list)" totalsRowDxfId="4551"/>
    <tableColumn id="7" xr3:uid="{38B0AC4A-96E8-4A26-9405-878E0BD03C46}" name="Describe the activity. What was done? What was the topic? How does this support your strategy? What was the desired outcome of this activity? Please be as descriptive/detailed as possible." dataDxfId="4550" totalsRowDxfId="4549"/>
    <tableColumn id="3" xr3:uid="{82A8F1BA-AA68-4594-8BD4-E910D48EA2A3}" name="# of hours" totalsRowFunction="custom" dataDxfId="4548" totalsRowDxfId="4547">
      <totalsRowFormula>SUM(Table1326789454['# of hours])</totalsRowFormula>
    </tableColumn>
    <tableColumn id="9" xr3:uid="{11657278-F713-43C6-A97D-02D9B3E857CB}" name="# of people reached" totalsRowFunction="custom" dataDxfId="4546" totalsRowDxfId="4545">
      <totalsRowFormula>SUM(Table1326789454['# of people reached])</totalsRowFormula>
    </tableColumn>
    <tableColumn id="10" xr3:uid="{104BB125-7452-4A11-B0F6-49411DCE9668}" name="# of participants" totalsRowFunction="custom" dataDxfId="4544" totalsRowDxfId="4543">
      <totalsRowFormula>SUM(Table1326789454['# of participants])</totalsRowFormula>
    </tableColumn>
    <tableColumn id="11" xr3:uid="{7E07C9FC-6208-4A01-A91C-53830203A861}" name="# of items handed out" totalsRowFunction="sum" dataDxfId="4542" totalsRowDxfId="4541"/>
    <tableColumn id="12" xr3:uid="{E4E0C898-918E-4060-B4E7-B333A2D9B31D}" name="Reimbursement Amount Requested" totalsRowFunction="sum" dataDxfId="4540" totalsRowDxfId="4539" dataCellStyle="Currency"/>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4" xr:uid="{CB0BC6EA-59E8-4520-9230-39105CE082C4}" name="Table13267810455" displayName="Table13267810455" ref="A68:G74" totalsRowCount="1" headerRowDxfId="4538" dataDxfId="4537" tableBorderDxfId="4536" totalsRowBorderDxfId="4535">
  <autoFilter ref="A68:G73" xr:uid="{CB0BC6EA-59E8-4520-9230-39105CE082C4}"/>
  <tableColumns count="7">
    <tableColumn id="1" xr3:uid="{E117574E-B7E1-4221-AB13-29A9DB9DEDC5}" name="Activities completed (select from the dropdown list)" totalsRowDxfId="4534"/>
    <tableColumn id="7" xr3:uid="{95FDB672-E4D9-414F-B656-A26B7EB390F0}" name="Describe the activity. What was done? What was the topic? How does this support your strategy? What was the desired outcome of this activity? Please be as descriptive/detailed as possible." dataDxfId="4533" totalsRowDxfId="4532"/>
    <tableColumn id="3" xr3:uid="{ECD7132A-CFBE-4D93-A0B9-254B3D2CAF0A}" name="# of hours" totalsRowFunction="custom" dataDxfId="4531" totalsRowDxfId="4530">
      <totalsRowFormula>SUM(Table13267810455['# of hours])</totalsRowFormula>
    </tableColumn>
    <tableColumn id="9" xr3:uid="{7C21810E-596D-41C4-BE94-90D3B127CFAA}" name="# of people reached" totalsRowFunction="custom" dataDxfId="4529" totalsRowDxfId="4528">
      <totalsRowFormula>SUM(Table13267810455['# of people reached])</totalsRowFormula>
    </tableColumn>
    <tableColumn id="10" xr3:uid="{02F41F4C-DBCD-4B8C-A529-9A15E68E3C8B}" name="# of participants" totalsRowFunction="custom" dataDxfId="4527" totalsRowDxfId="4526">
      <totalsRowFormula>SUM(Table13267810455['# of participants])</totalsRowFormula>
    </tableColumn>
    <tableColumn id="11" xr3:uid="{90F9A0E8-FA3F-44B5-B8D5-3F1D58D386E3}" name="# of items handed out" totalsRowFunction="sum" dataDxfId="4525" totalsRowDxfId="4524"/>
    <tableColumn id="12" xr3:uid="{65CE6F8B-5C36-45F8-A357-0EFDD6C09A66}" name="Reimbursement Amount Requested" totalsRowFunction="sum" dataDxfId="4523" totalsRowDxfId="4522" dataCellStyle="Currency" totalsRowCellStyle="Currency"/>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5" xr:uid="{5BA6BA07-BC75-45ED-9F62-BBAF333061C3}" name="Table1326781011456" displayName="Table1326781011456" ref="A80:G86" totalsRowCount="1" headerRowDxfId="4521" dataDxfId="4520" tableBorderDxfId="4519" totalsRowBorderDxfId="4518">
  <autoFilter ref="A80:G85" xr:uid="{5BA6BA07-BC75-45ED-9F62-BBAF333061C3}"/>
  <tableColumns count="7">
    <tableColumn id="1" xr3:uid="{64827488-03E1-4DA5-A741-489CE8B6BF92}" name="Activities completed (select from the dropdown list)" totalsRowDxfId="4517"/>
    <tableColumn id="7" xr3:uid="{905BFD41-D457-4758-910A-FD02D9A5CF40}" name="Describe the activity. What was done? What was the topic? How does this support your strategy? What was the desired outcome of this activity? Please be as descriptive/detailed as possible." dataDxfId="4516" totalsRowDxfId="4515"/>
    <tableColumn id="3" xr3:uid="{41142A6C-46D0-4347-87E2-40A4B3A2BE49}" name="# of hours" totalsRowFunction="custom" dataDxfId="4514" totalsRowDxfId="4513">
      <totalsRowFormula>SUM(Table1326781011456['# of hours])</totalsRowFormula>
    </tableColumn>
    <tableColumn id="9" xr3:uid="{F5148B34-0557-4817-A3C2-EAC42390B993}" name="# of people reached" totalsRowFunction="custom" dataDxfId="4512" totalsRowDxfId="4511">
      <totalsRowFormula>SUM(Table1326781011456['# of people reached])</totalsRowFormula>
    </tableColumn>
    <tableColumn id="10" xr3:uid="{CD9F3977-50F0-44B7-9B42-209F29F7AA3B}" name="# of participants" totalsRowFunction="custom" dataDxfId="4510" totalsRowDxfId="4509">
      <totalsRowFormula>SUM(Table1326781011456['# of participants])</totalsRowFormula>
    </tableColumn>
    <tableColumn id="11" xr3:uid="{81A6612A-E2B6-4E4C-AF2D-DA70D942CC80}" name="# of items handed out" totalsRowFunction="sum" dataDxfId="4508" totalsRowDxfId="4507"/>
    <tableColumn id="12" xr3:uid="{2395AAEB-36CD-42CD-9E53-1646082A0B47}" name="Reimbursement Amount Requested" totalsRowFunction="sum" dataDxfId="4506" totalsRowDxfId="4505" dataCellStyle="Currency" totalsRowCellStyle="Currency"/>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6" xr:uid="{9AA3B837-7C81-48B0-8569-26BBDC874125}" name="Table132678101112457" displayName="Table132678101112457" ref="A92:G98" totalsRowCount="1" headerRowDxfId="4504" dataDxfId="4503" tableBorderDxfId="4502" totalsRowBorderDxfId="4501">
  <autoFilter ref="A92:G97" xr:uid="{9AA3B837-7C81-48B0-8569-26BBDC874125}"/>
  <tableColumns count="7">
    <tableColumn id="1" xr3:uid="{5C34D4D3-CAC8-4C24-9F8D-1A43AC7ED5B7}" name="Activities completed (select from the dropdown list)" totalsRowDxfId="4500"/>
    <tableColumn id="7" xr3:uid="{D04DF41D-97F8-4E33-9AAA-FBA442642130}" name="Describe the activity. What was done? What was the topic? How does this support your strategy? What was the desired outcome of this activity? Please be as descriptive/detailed as possible." dataDxfId="4499" totalsRowDxfId="4498"/>
    <tableColumn id="3" xr3:uid="{81EBC893-F69F-4A27-B116-B59736DFEEFC}" name="# of hours" totalsRowFunction="custom" dataDxfId="4497" totalsRowDxfId="4496">
      <totalsRowFormula>SUM(Table132678101112457['# of hours])</totalsRowFormula>
    </tableColumn>
    <tableColumn id="9" xr3:uid="{CC83D953-64D9-473E-84C8-44E91C54DF39}" name="# of people reached" totalsRowFunction="custom" dataDxfId="4495" totalsRowDxfId="4494">
      <totalsRowFormula>SUM(Table132678101112457['# of people reached])</totalsRowFormula>
    </tableColumn>
    <tableColumn id="10" xr3:uid="{20356EA4-C02C-4101-A68C-AEB580B37D40}" name="# of participants" totalsRowFunction="custom" dataDxfId="4493" totalsRowDxfId="4492">
      <totalsRowFormula>SUM(Table132678101112457['# of participants])</totalsRowFormula>
    </tableColumn>
    <tableColumn id="11" xr3:uid="{231A13B8-9ABD-496D-8507-652AB24115CD}" name="# of items handed out" totalsRowFunction="sum" dataDxfId="4491" totalsRowDxfId="4490"/>
    <tableColumn id="12" xr3:uid="{EB2B71A3-75F4-4F1E-A0F9-FC8F0BA6FB4C}" name="Reimbursement Amount Requested" totalsRowFunction="sum" dataDxfId="4489" totalsRowDxfId="4488" dataCellStyle="Currency"/>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3" xr:uid="{C1E9DF8F-EE3B-4029-9611-5E3661D64B45}" name="Table132474" displayName="Table132474" ref="A6:G12" totalsRowCount="1" headerRowDxfId="4487" dataDxfId="4486" tableBorderDxfId="4485" totalsRowBorderDxfId="4484">
  <autoFilter ref="A6:G11" xr:uid="{C1E9DF8F-EE3B-4029-9611-5E3661D64B45}"/>
  <tableColumns count="7">
    <tableColumn id="1" xr3:uid="{25498679-A1B8-4ECC-82A5-7B63D7B03FC1}" name="Activities completed (select from the dropdown list)" totalsRowDxfId="4483"/>
    <tableColumn id="7" xr3:uid="{37E1C190-8269-4F3E-93F3-7E90D0E08DDB}" name="Describe the activity. What was done? What was the topic? How does this support your strategy? What was the desired outcome of this activity? Please be as descriptive/detailed as possible." dataDxfId="4482" totalsRowDxfId="4481"/>
    <tableColumn id="3" xr3:uid="{E38BA94A-607F-4591-8E28-3791F2FD3822}" name="# of hours" totalsRowFunction="custom" dataDxfId="4480" totalsRowDxfId="4479">
      <totalsRowFormula>SUM(Table132474['# of hours])</totalsRowFormula>
    </tableColumn>
    <tableColumn id="9" xr3:uid="{B2BA294C-B478-4CE3-A697-D6E026670539}" name="# of people reached" totalsRowFunction="custom" dataDxfId="4478" totalsRowDxfId="4477">
      <totalsRowFormula>SUM(Table132474['# of people reached])</totalsRowFormula>
    </tableColumn>
    <tableColumn id="10" xr3:uid="{3E0B42F3-E83B-45B6-ADF9-FCC1F555F8BD}" name="# of participants" totalsRowFunction="custom" dataDxfId="4476" totalsRowDxfId="4475">
      <totalsRowFormula>SUM(Table132474['# of participants])</totalsRowFormula>
    </tableColumn>
    <tableColumn id="11" xr3:uid="{FCAA5F6C-403F-4228-B170-38ABCCACDDCC}" name="# of items handed out" totalsRowFunction="sum" dataDxfId="4474" totalsRowDxfId="4473"/>
    <tableColumn id="12" xr3:uid="{BBBE7D2D-524F-4D95-B6C6-86FFFC0A9A45}" name="Reimbursement Amount Requested" totalsRowFunction="sum" dataDxfId="4472" totalsRowDxfId="4471" dataCellStyle="Currency"/>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4" xr:uid="{22744611-F476-4848-840A-88539E2441C3}" name="Table1326475" displayName="Table1326475" ref="A18:G29" totalsRowCount="1" headerRowDxfId="4470" dataDxfId="4469" tableBorderDxfId="4468" totalsRowBorderDxfId="4467">
  <autoFilter ref="A18:G28" xr:uid="{22744611-F476-4848-840A-88539E2441C3}"/>
  <tableColumns count="7">
    <tableColumn id="1" xr3:uid="{AC1AC5CB-F33F-44BC-9B2C-57BD79D2299C}" name="Activities completed (select from the dropdown list)" totalsRowDxfId="4466"/>
    <tableColumn id="7" xr3:uid="{42C5CE0C-FE0C-47A6-A369-AD9C04122650}" name="Describe the activity. What was done? What was the topic? How does this support your strategy? What was the desired outcome of this activity? Please be as descriptive/detailed as possible." dataDxfId="4465" totalsRowDxfId="4464"/>
    <tableColumn id="3" xr3:uid="{71F066B6-184F-4D62-B2D3-B528C11160A4}" name="# of hours" totalsRowFunction="custom" dataDxfId="4463" totalsRowDxfId="4462">
      <totalsRowFormula>SUM(Table1326475['# of hours])</totalsRowFormula>
    </tableColumn>
    <tableColumn id="9" xr3:uid="{551766BB-9113-4B1B-939F-3348B85C6BF2}" name="# of people reached" totalsRowFunction="custom" dataDxfId="4461" totalsRowDxfId="4460">
      <totalsRowFormula>SUM(Table1326475['# of people reached])</totalsRowFormula>
    </tableColumn>
    <tableColumn id="10" xr3:uid="{16CF20C8-E2D9-4E80-A18B-4BB6FA0FB063}" name="# of participants" totalsRowFunction="custom" dataDxfId="4459" totalsRowDxfId="4458">
      <totalsRowFormula>SUM(Table1326475['# of participants])</totalsRowFormula>
    </tableColumn>
    <tableColumn id="11" xr3:uid="{8DFBBF00-FC1B-465E-8736-EB18DCC0A2F1}" name="# of items handed out" totalsRowFunction="sum" dataDxfId="4457" totalsRowDxfId="4456"/>
    <tableColumn id="12" xr3:uid="{323B6675-5672-440C-9F64-E47B048B80F2}" name="Reimbursement Amount Requested" totalsRowFunction="sum" dataDxfId="4455" totalsRowDxfId="4454" dataCellStyle="Currency" totalsRowCellStyle="Currency"/>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5" xr:uid="{35521DD8-0EDE-465C-AEEA-B8197F12BA21}" name="Table13267476" displayName="Table13267476" ref="A35:G41" totalsRowCount="1" headerRowDxfId="4453" dataDxfId="4452" tableBorderDxfId="4451" totalsRowBorderDxfId="4450">
  <autoFilter ref="A35:G40" xr:uid="{35521DD8-0EDE-465C-AEEA-B8197F12BA21}"/>
  <tableColumns count="7">
    <tableColumn id="1" xr3:uid="{8EA03758-D9DB-42BE-BE5B-D0D2A1A7E720}" name="Activities completed (select from the dropdown list)" totalsRowDxfId="4449"/>
    <tableColumn id="7" xr3:uid="{91820A79-1082-4AC8-A6F7-4E9628889D80}" name="Describe the activity. What was done? What was the topic? How does this support your strategy? What was the desired outcome of this activity? Please be as descriptive/detailed as possible." dataDxfId="4448" totalsRowDxfId="4447"/>
    <tableColumn id="3" xr3:uid="{6AE91058-8E6F-45FA-BED6-AF7BF3CE82AF}" name="# of hours" totalsRowFunction="custom" dataDxfId="4446" totalsRowDxfId="4445">
      <totalsRowFormula>SUM(Table13267476['# of hours])</totalsRowFormula>
    </tableColumn>
    <tableColumn id="9" xr3:uid="{2810DF84-3DFD-4629-91B3-379E8D2AE282}" name="# of people reached" totalsRowFunction="custom" dataDxfId="4444" totalsRowDxfId="4443">
      <totalsRowFormula>SUM(Table13267476['# of people reached])</totalsRowFormula>
    </tableColumn>
    <tableColumn id="10" xr3:uid="{DF3C73E6-C5F8-4A67-8C1E-980DFA550FAD}" name="# of participants" totalsRowFunction="custom" dataDxfId="4442" totalsRowDxfId="4441">
      <totalsRowFormula>SUM(Table13267476['# of participants])</totalsRowFormula>
    </tableColumn>
    <tableColumn id="11" xr3:uid="{DA89A8B0-0955-4943-9ABD-C21FDFDD6AC4}" name="# of items handed out" totalsRowFunction="sum" dataDxfId="4440" totalsRowDxfId="4439"/>
    <tableColumn id="12" xr3:uid="{37E9B676-5A90-4388-9939-56644442424C}" name="Reimbursement Amount Requested" totalsRowFunction="sum" dataDxfId="4438" totalsRowDxfId="4437" dataCellStyle="Currency" totalsRowCellStyle="Currency"/>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6" xr:uid="{EB60EB77-EBCF-427B-8DC0-21DD1A48A2EA}" name="Table132678477" displayName="Table132678477" ref="A47:G53" totalsRowCount="1" headerRowDxfId="4436" dataDxfId="4435" tableBorderDxfId="4434" totalsRowBorderDxfId="4433">
  <autoFilter ref="A47:G52" xr:uid="{EB60EB77-EBCF-427B-8DC0-21DD1A48A2EA}"/>
  <tableColumns count="7">
    <tableColumn id="1" xr3:uid="{D07F729E-C298-4983-ABA9-A799838C42E8}" name="Activities completed (select from the dropdown list)" totalsRowDxfId="4432"/>
    <tableColumn id="7" xr3:uid="{5547B9D1-A975-45B1-A67F-27219E78D301}" name="Describe the activity. What was done? What was the topic? How does this support your strategy? What was the desired outcome of this activity? Please be as descriptive/detailed as possible." dataDxfId="4431" totalsRowDxfId="4430"/>
    <tableColumn id="3" xr3:uid="{B0416925-8606-4F48-8FFB-2B9F5ED87B99}" name="# of hours" totalsRowFunction="custom" dataDxfId="4429" totalsRowDxfId="4428">
      <totalsRowFormula>SUM(Table132678477['# of hours])</totalsRowFormula>
    </tableColumn>
    <tableColumn id="9" xr3:uid="{0823ADF6-D11A-4EC1-BA90-9BA1268759C6}" name="# of people reached" totalsRowFunction="custom" dataDxfId="4427" totalsRowDxfId="4426">
      <totalsRowFormula>SUM(Table132678477['# of people reached])</totalsRowFormula>
    </tableColumn>
    <tableColumn id="10" xr3:uid="{E8A6C7ED-BA6A-46F4-8C10-F8DCE96EF455}" name="# of participants" totalsRowFunction="custom" dataDxfId="4425" totalsRowDxfId="4424">
      <totalsRowFormula>SUM(Table132678477['# of participants])</totalsRowFormula>
    </tableColumn>
    <tableColumn id="11" xr3:uid="{5E11D483-0265-42D0-85C5-0BC3A648EF83}" name="# of items handed out" totalsRowFunction="sum" dataDxfId="4423" totalsRowDxfId="4422"/>
    <tableColumn id="12" xr3:uid="{898B0959-ECFF-4339-B05D-296244ABC5C6}" name="Reimbursement Amount Requested" totalsRowFunction="sum" dataDxfId="4421" totalsRowDxfId="4420" dataCellStyle="Currency"/>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7" xr:uid="{9B524AA5-E0D5-41AB-A716-AB6A91D5D035}" name="Table1326789478" displayName="Table1326789478" ref="A59:G62" totalsRowCount="1" headerRowDxfId="4419" dataDxfId="4418" tableBorderDxfId="4417" totalsRowBorderDxfId="4416">
  <autoFilter ref="A59:G61" xr:uid="{9B524AA5-E0D5-41AB-A716-AB6A91D5D035}"/>
  <tableColumns count="7">
    <tableColumn id="1" xr3:uid="{09B9DAA4-02EF-40D0-B6E2-83E03BBAEF45}" name="Activities completed (select from the dropdown list)" totalsRowDxfId="4415"/>
    <tableColumn id="7" xr3:uid="{A8943159-1F9E-4504-85EF-FAF430B4EE6E}" name="Describe the activity. What was done? What was the topic? How does this support your strategy? What was the desired outcome of this activity? Please be as descriptive/detailed as possible." dataDxfId="4414" totalsRowDxfId="4413"/>
    <tableColumn id="3" xr3:uid="{A8572282-4893-454C-ACC1-A72C990EAABE}" name="# of hours" totalsRowFunction="custom" dataDxfId="4412" totalsRowDxfId="4411">
      <totalsRowFormula>SUM(Table1326789478['# of hours])</totalsRowFormula>
    </tableColumn>
    <tableColumn id="9" xr3:uid="{9D4459AE-CC8F-4717-9616-DB255892B228}" name="# of people reached" totalsRowFunction="custom" dataDxfId="4410" totalsRowDxfId="4409">
      <totalsRowFormula>SUM(Table1326789478['# of people reached])</totalsRowFormula>
    </tableColumn>
    <tableColumn id="10" xr3:uid="{88F1B6C9-463F-4FE0-8710-35909481DB87}" name="# of participants" totalsRowFunction="custom" dataDxfId="4408" totalsRowDxfId="4407">
      <totalsRowFormula>SUM(Table1326789478['# of participants])</totalsRowFormula>
    </tableColumn>
    <tableColumn id="11" xr3:uid="{50A931B1-BBE7-45DF-816C-2D759F647037}" name="# of items handed out" totalsRowFunction="sum" dataDxfId="4406" totalsRowDxfId="4405"/>
    <tableColumn id="12" xr3:uid="{DDB876F5-F3E1-4357-8B7E-D44A1A83FEC5}" name="Reimbursement Amount Requested" totalsRowFunction="sum" dataDxfId="4404" totalsRowDxfId="4403" dataCellStyle="Currency"/>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8" xr:uid="{3E4A6DF8-3835-4885-AEAB-EA77FD056FB7}" name="Table13267810479" displayName="Table13267810479" ref="A68:G74" totalsRowCount="1" headerRowDxfId="4402" dataDxfId="4401" tableBorderDxfId="4400" totalsRowBorderDxfId="4399">
  <autoFilter ref="A68:G73" xr:uid="{3E4A6DF8-3835-4885-AEAB-EA77FD056FB7}"/>
  <tableColumns count="7">
    <tableColumn id="1" xr3:uid="{D4685753-2499-40EF-B761-5F751DA71F60}" name="Activities completed (select from the dropdown list)" totalsRowDxfId="4398"/>
    <tableColumn id="7" xr3:uid="{C66C7493-8C1C-4111-B48B-B9163C491228}" name="Describe the activity. What was done? What was the topic? How does this support your strategy? What was the desired outcome of this activity? Please be as descriptive/detailed as possible." dataDxfId="4397" totalsRowDxfId="4396"/>
    <tableColumn id="3" xr3:uid="{D3259B67-3814-4769-A5A7-C435D1EDFD4E}" name="# of hours" totalsRowFunction="custom" dataDxfId="4395" totalsRowDxfId="4394">
      <totalsRowFormula>SUM(Table13267810479['# of hours])</totalsRowFormula>
    </tableColumn>
    <tableColumn id="9" xr3:uid="{E715CCD4-7BEB-40D8-9C5A-33F9CBC87659}" name="# of people reached" totalsRowFunction="custom" dataDxfId="4393" totalsRowDxfId="4392">
      <totalsRowFormula>SUM(Table13267810479['# of people reached])</totalsRowFormula>
    </tableColumn>
    <tableColumn id="10" xr3:uid="{148D8122-C3F5-4EE6-B55C-E7BD5EA7311A}" name="# of participants" totalsRowFunction="custom" dataDxfId="4391" totalsRowDxfId="4390">
      <totalsRowFormula>SUM(Table13267810479['# of participants])</totalsRowFormula>
    </tableColumn>
    <tableColumn id="11" xr3:uid="{370DDE04-80C8-4580-BE96-9D0C30E91C31}" name="# of items handed out" totalsRowFunction="sum" dataDxfId="4389" totalsRowDxfId="4388"/>
    <tableColumn id="12" xr3:uid="{AD793161-9354-414D-87B9-06209EF5CDF9}" name="Reimbursement Amount Requested" totalsRowFunction="sum" dataDxfId="4387" totalsRowDxfId="4386" dataCellStyle="Currency" totalsRowCellStyle="Currency"/>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9" xr:uid="{45D687C0-83FA-47D9-980E-4D667377E309}" name="Table1326781011480" displayName="Table1326781011480" ref="A80:G86" totalsRowCount="1" headerRowDxfId="4385" dataDxfId="4384" tableBorderDxfId="4383" totalsRowBorderDxfId="4382">
  <autoFilter ref="A80:G85" xr:uid="{45D687C0-83FA-47D9-980E-4D667377E309}"/>
  <tableColumns count="7">
    <tableColumn id="1" xr3:uid="{B2FCD51F-F1FA-4076-BEDE-814EFE2CC214}" name="Activities completed (select from the dropdown list)" totalsRowDxfId="4381"/>
    <tableColumn id="7" xr3:uid="{D7555E86-A8DA-4E62-99E9-9DBF7C4EB22E}" name="Describe the activity. What was done? What was the topic? How does this support your strategy? What was the desired outcome of this activity? Please be as descriptive/detailed as possible." dataDxfId="4380" totalsRowDxfId="4379"/>
    <tableColumn id="3" xr3:uid="{FBBCF8F0-4B49-40B4-BFD0-6D3F6ED9C04F}" name="# of hours" totalsRowFunction="custom" dataDxfId="4378" totalsRowDxfId="4377">
      <totalsRowFormula>SUM(Table1326781011480['# of hours])</totalsRowFormula>
    </tableColumn>
    <tableColumn id="9" xr3:uid="{3C2B3D20-8DC7-40E2-AE34-CFFD93A67CAC}" name="# of people reached" totalsRowFunction="custom" dataDxfId="4376" totalsRowDxfId="4375">
      <totalsRowFormula>SUM(Table1326781011480['# of people reached])</totalsRowFormula>
    </tableColumn>
    <tableColumn id="10" xr3:uid="{9158CDFB-E6C1-4778-90D9-EB45337C2A7B}" name="# of participants" totalsRowFunction="custom" dataDxfId="4374" totalsRowDxfId="4373">
      <totalsRowFormula>SUM(Table1326781011480['# of participants])</totalsRowFormula>
    </tableColumn>
    <tableColumn id="11" xr3:uid="{108A0EF1-9B0D-42CB-B43E-5471250C810E}" name="# of items handed out" totalsRowFunction="sum" dataDxfId="4372" totalsRowDxfId="4371"/>
    <tableColumn id="12" xr3:uid="{FABDB99F-5B5B-4AD6-931A-C7F2EA17A20B}" name="Reimbursement Amount Requested" totalsRowFunction="sum" dataDxfId="4370" totalsRowDxfId="4369" dataCellStyle="Currency" totalsRowCellStyle="Currency"/>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0" xr:uid="{20F378F3-550F-4C9C-80AE-200CD34C452F}" name="Table132678101112481" displayName="Table132678101112481" ref="A92:G98" totalsRowCount="1" headerRowDxfId="4368" dataDxfId="4367" tableBorderDxfId="4366" totalsRowBorderDxfId="4365">
  <autoFilter ref="A92:G97" xr:uid="{20F378F3-550F-4C9C-80AE-200CD34C452F}"/>
  <tableColumns count="7">
    <tableColumn id="1" xr3:uid="{0EBAAD4E-6F24-445B-A472-64BF4E563D84}" name="Activities completed (select from the dropdown list)" totalsRowDxfId="4364"/>
    <tableColumn id="7" xr3:uid="{18E76B9A-74FD-40BA-8843-8BAD9810629E}" name="Describe the activity. What was done? What was the topic? How does this support your strategy? What was the desired outcome of this activity? Please be as descriptive/detailed as possible." dataDxfId="4363" totalsRowDxfId="4362"/>
    <tableColumn id="3" xr3:uid="{41A0B549-AA49-48F7-B818-11019381A419}" name="# of hours" totalsRowFunction="custom" dataDxfId="4361" totalsRowDxfId="4360">
      <totalsRowFormula>SUM(Table132678101112481['# of hours])</totalsRowFormula>
    </tableColumn>
    <tableColumn id="9" xr3:uid="{FE029A8D-549B-447F-8353-545008B00879}" name="# of people reached" totalsRowFunction="custom" dataDxfId="4359" totalsRowDxfId="4358">
      <totalsRowFormula>SUM(Table132678101112481['# of people reached])</totalsRowFormula>
    </tableColumn>
    <tableColumn id="10" xr3:uid="{32D60AC8-3777-4866-89EA-369E2AF8F015}" name="# of participants" totalsRowFunction="custom" dataDxfId="4357" totalsRowDxfId="4356">
      <totalsRowFormula>SUM(Table132678101112481['# of participants])</totalsRowFormula>
    </tableColumn>
    <tableColumn id="11" xr3:uid="{1102A329-15A6-4A77-835C-0324A1A20074}" name="# of items handed out" totalsRowFunction="sum" dataDxfId="4355" totalsRowDxfId="4354"/>
    <tableColumn id="12" xr3:uid="{DACA8385-3668-4149-A6C0-F02C138CC335}" name="Reimbursement Amount Requested" totalsRowFunction="sum" dataDxfId="4353" totalsRowDxfId="4352" dataCellStyle="Currency"/>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1" xr:uid="{A3A8956F-21A9-46E8-A58E-0AD2ED8075CD}" name="Table132482" displayName="Table132482" ref="A6:G12" totalsRowCount="1" headerRowDxfId="4351" dataDxfId="4350" tableBorderDxfId="4349" totalsRowBorderDxfId="4348">
  <autoFilter ref="A6:G11" xr:uid="{A3A8956F-21A9-46E8-A58E-0AD2ED8075CD}"/>
  <tableColumns count="7">
    <tableColumn id="1" xr3:uid="{DB29FBFA-76F7-4F2C-9EA1-78AA01B2CB47}" name="Activities completed (select from the dropdown list)" totalsRowDxfId="4347"/>
    <tableColumn id="7" xr3:uid="{B0281A16-854A-42AA-968F-0276164DE9FE}" name="Describe the activity. What was done? What was the topic? How does this support your strategy? What was the desired outcome of this activity? Please be as descriptive/detailed as possible." dataDxfId="4346" totalsRowDxfId="4345"/>
    <tableColumn id="3" xr3:uid="{E5A3B00E-428F-4195-961A-3DFD58CF2227}" name="# of hours" totalsRowFunction="custom" dataDxfId="4344" totalsRowDxfId="4343">
      <totalsRowFormula>SUM(Table132482['# of hours])</totalsRowFormula>
    </tableColumn>
    <tableColumn id="9" xr3:uid="{A04DD029-28F2-4E44-97CE-809542769CD4}" name="# of people reached" totalsRowFunction="custom" dataDxfId="4342" totalsRowDxfId="4341">
      <totalsRowFormula>SUM(Table132482['# of people reached])</totalsRowFormula>
    </tableColumn>
    <tableColumn id="10" xr3:uid="{179C1300-0623-42D5-ADFD-0B76E2F48D31}" name="# of participants" totalsRowFunction="custom" dataDxfId="4340" totalsRowDxfId="4339">
      <totalsRowFormula>SUM(Table132482['# of participants])</totalsRowFormula>
    </tableColumn>
    <tableColumn id="11" xr3:uid="{95ABE38C-3864-4587-B800-5BAEB6B8C2CC}" name="# of items handed out" totalsRowFunction="sum" dataDxfId="4338" totalsRowDxfId="4337"/>
    <tableColumn id="12" xr3:uid="{ABB4A0FB-0E28-4A26-8A66-67AEC829A7E1}" name="Reimbursement Amount Requested" totalsRowFunction="sum" dataDxfId="4336" totalsRowDxfId="4335" dataCellStyle="Currency"/>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2" xr:uid="{9E50518C-A617-438D-AB7B-8D4C9A22C45E}" name="Table1326483" displayName="Table1326483" ref="A18:G29" totalsRowCount="1" headerRowDxfId="4334" dataDxfId="4333" tableBorderDxfId="4332" totalsRowBorderDxfId="4331">
  <autoFilter ref="A18:G28" xr:uid="{9E50518C-A617-438D-AB7B-8D4C9A22C45E}"/>
  <tableColumns count="7">
    <tableColumn id="1" xr3:uid="{AE997E19-ECCE-4564-B70B-E4983311A85D}" name="Activities completed (select from the dropdown list)" totalsRowDxfId="4330"/>
    <tableColumn id="7" xr3:uid="{A1B2A5CA-F2BB-4965-A7E0-D8EE87E541B1}" name="Describe the activity. What was done? What was the topic? How does this support your strategy? What was the desired outcome of this activity? Please be as descriptive/detailed as possible." dataDxfId="4329" totalsRowDxfId="4328"/>
    <tableColumn id="3" xr3:uid="{E6010F60-186E-4A7D-832A-0EFCAB125860}" name="# of hours" totalsRowFunction="custom" dataDxfId="4327" totalsRowDxfId="4326">
      <totalsRowFormula>SUM(Table1326483['# of hours])</totalsRowFormula>
    </tableColumn>
    <tableColumn id="9" xr3:uid="{34FFCA88-0132-4021-8B7D-6C0F95C103C4}" name="# of people reached" totalsRowFunction="custom" dataDxfId="4325" totalsRowDxfId="4324">
      <totalsRowFormula>SUM(Table1326483['# of people reached])</totalsRowFormula>
    </tableColumn>
    <tableColumn id="10" xr3:uid="{6D44B98E-A0A9-4CE7-82B4-86C88D32867A}" name="# of participants" totalsRowFunction="custom" dataDxfId="4323" totalsRowDxfId="4322">
      <totalsRowFormula>SUM(Table1326483['# of participants])</totalsRowFormula>
    </tableColumn>
    <tableColumn id="11" xr3:uid="{A8F8516E-87AF-46DA-B9B0-F5B15AF5CFB9}" name="# of items handed out" totalsRowFunction="sum" dataDxfId="4321" totalsRowDxfId="4320"/>
    <tableColumn id="12" xr3:uid="{7C82ED5A-B1D6-4DB6-8491-159E6C374F1F}" name="Reimbursement Amount Requested" totalsRowFunction="sum" dataDxfId="4319" totalsRowDxfId="4318" dataCellStyle="Currency" totalsRowCellStyle="Currency"/>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3" xr:uid="{D46C44E3-A1F0-45FE-98E6-F9EF90CFC9D2}" name="Table13267484" displayName="Table13267484" ref="A35:G41" totalsRowCount="1" headerRowDxfId="4317" dataDxfId="4316" tableBorderDxfId="4315" totalsRowBorderDxfId="4314">
  <autoFilter ref="A35:G40" xr:uid="{D46C44E3-A1F0-45FE-98E6-F9EF90CFC9D2}"/>
  <tableColumns count="7">
    <tableColumn id="1" xr3:uid="{19B5044C-4FD7-43F8-AE6A-ADD48DAA8403}" name="Activities completed (select from the dropdown list)" totalsRowDxfId="4313"/>
    <tableColumn id="7" xr3:uid="{AC1010C9-D960-42D3-911B-7C8FC40CE549}" name="Describe the activity. What was done? What was the topic? How does this support your strategy? What was the desired outcome of this activity? Please be as descriptive/detailed as possible." dataDxfId="4312" totalsRowDxfId="4311"/>
    <tableColumn id="3" xr3:uid="{5F7A3C35-A0E8-4779-B898-A0C9DAC344E1}" name="# of hours" totalsRowFunction="custom" dataDxfId="4310" totalsRowDxfId="4309">
      <totalsRowFormula>SUM(Table13267484['# of hours])</totalsRowFormula>
    </tableColumn>
    <tableColumn id="9" xr3:uid="{A1C3C06A-559E-4091-989B-5DFC0827C46E}" name="# of people reached" totalsRowFunction="custom" dataDxfId="4308" totalsRowDxfId="4307">
      <totalsRowFormula>SUM(Table13267484['# of people reached])</totalsRowFormula>
    </tableColumn>
    <tableColumn id="10" xr3:uid="{1DFDD394-38B3-4063-9A26-55AAC4B1C8A9}" name="# of participants" totalsRowFunction="custom" dataDxfId="4306" totalsRowDxfId="4305">
      <totalsRowFormula>SUM(Table13267484['# of participants])</totalsRowFormula>
    </tableColumn>
    <tableColumn id="11" xr3:uid="{9E3CB734-45D4-458F-98FF-73C6DFD9F76D}" name="# of items handed out" totalsRowFunction="sum" dataDxfId="4304" totalsRowDxfId="4303"/>
    <tableColumn id="12" xr3:uid="{02119D75-05BD-4885-8039-CBC59A7F73DD}" name="Reimbursement Amount Requested" totalsRowFunction="sum" dataDxfId="4302" totalsRowDxfId="4301" dataCellStyle="Currency" totalsRowCellStyle="Currency"/>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4" xr:uid="{B7DF15F9-3579-456A-AC08-A8BB04831B94}" name="Table132678485" displayName="Table132678485" ref="A47:G53" totalsRowCount="1" headerRowDxfId="4300" dataDxfId="4299" tableBorderDxfId="4298" totalsRowBorderDxfId="4297">
  <autoFilter ref="A47:G52" xr:uid="{B7DF15F9-3579-456A-AC08-A8BB04831B94}"/>
  <tableColumns count="7">
    <tableColumn id="1" xr3:uid="{1C47D4B7-4DAD-4B85-825E-2C3FB6314667}" name="Activities completed (select from the dropdown list)" totalsRowDxfId="4296"/>
    <tableColumn id="7" xr3:uid="{6B466FBA-708E-4E6A-A28A-4B4312766C2B}" name="Describe the activity. What was done? What was the topic? How does this support your strategy? What was the desired outcome of this activity? Please be as descriptive/detailed as possible." dataDxfId="4295" totalsRowDxfId="4294"/>
    <tableColumn id="3" xr3:uid="{3F229807-BBE0-4EDF-AF97-44137BAA265A}" name="# of hours" totalsRowFunction="custom" dataDxfId="4293" totalsRowDxfId="4292">
      <totalsRowFormula>SUM(Table132678485['# of hours])</totalsRowFormula>
    </tableColumn>
    <tableColumn id="9" xr3:uid="{D0BFCD81-5919-4D31-A592-D17968536A95}" name="# of people reached" totalsRowFunction="custom" dataDxfId="4291" totalsRowDxfId="4290">
      <totalsRowFormula>SUM(Table132678485['# of people reached])</totalsRowFormula>
    </tableColumn>
    <tableColumn id="10" xr3:uid="{3AE0BC96-C20E-408D-9389-03721B69E324}" name="# of participants" totalsRowFunction="custom" dataDxfId="4289" totalsRowDxfId="4288">
      <totalsRowFormula>SUM(Table132678485['# of participants])</totalsRowFormula>
    </tableColumn>
    <tableColumn id="11" xr3:uid="{EECB8544-1703-467E-9E52-A48F2BA3CA1F}" name="# of items handed out" totalsRowFunction="sum" dataDxfId="4287" totalsRowDxfId="4286"/>
    <tableColumn id="12" xr3:uid="{E8DBE364-A8FD-4B71-B0DC-FBC19F75FFF7}" name="Reimbursement Amount Requested" totalsRowFunction="sum" dataDxfId="4285" totalsRowDxfId="4284" dataCellStyle="Currency"/>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5" xr:uid="{6F75141C-6FB3-4075-A0B1-8D0CD6032AFA}" name="Table1326789486" displayName="Table1326789486" ref="A59:G62" totalsRowCount="1" headerRowDxfId="4283" dataDxfId="4282" tableBorderDxfId="4281" totalsRowBorderDxfId="4280">
  <autoFilter ref="A59:G61" xr:uid="{6F75141C-6FB3-4075-A0B1-8D0CD6032AFA}"/>
  <tableColumns count="7">
    <tableColumn id="1" xr3:uid="{B4D605B7-0496-4023-AF1F-CD3178386F18}" name="Activities completed (select from the dropdown list)" totalsRowDxfId="4279"/>
    <tableColumn id="7" xr3:uid="{A3EEB10C-F79F-4217-8961-B8A3790D0894}" name="Describe the activity. What was done? What was the topic? How does this support your strategy? What was the desired outcome of this activity? Please be as descriptive/detailed as possible." dataDxfId="4278" totalsRowDxfId="4277"/>
    <tableColumn id="3" xr3:uid="{C5FF6D32-438D-41E2-BA69-976C913756B5}" name="# of hours" totalsRowFunction="custom" dataDxfId="4276" totalsRowDxfId="4275">
      <totalsRowFormula>SUM(Table1326789486['# of hours])</totalsRowFormula>
    </tableColumn>
    <tableColumn id="9" xr3:uid="{C1C779E3-A996-4BD9-9025-EC10D429D987}" name="# of people reached" totalsRowFunction="custom" dataDxfId="4274" totalsRowDxfId="4273">
      <totalsRowFormula>SUM(Table1326789486['# of people reached])</totalsRowFormula>
    </tableColumn>
    <tableColumn id="10" xr3:uid="{C8F0F80B-71D9-4886-92CC-D5D9715AF99B}" name="# of participants" totalsRowFunction="custom" dataDxfId="4272" totalsRowDxfId="4271">
      <totalsRowFormula>SUM(Table1326789486['# of participants])</totalsRowFormula>
    </tableColumn>
    <tableColumn id="11" xr3:uid="{5694E18B-C09F-43C8-9420-4549D79CC047}" name="# of items handed out" totalsRowFunction="sum" dataDxfId="4270" totalsRowDxfId="4269"/>
    <tableColumn id="12" xr3:uid="{DF914DAE-816C-410F-8C00-A11C9A982D6B}" name="Reimbursement Amount Requested" totalsRowFunction="sum" dataDxfId="4268" totalsRowDxfId="4267" dataCellStyle="Currency"/>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6" xr:uid="{7C991D27-D614-4FEE-AE54-E4DEBAD3250D}" name="Table13267810487" displayName="Table13267810487" ref="A68:G74" totalsRowCount="1" headerRowDxfId="4266" dataDxfId="4265" tableBorderDxfId="4264" totalsRowBorderDxfId="4263">
  <autoFilter ref="A68:G73" xr:uid="{7C991D27-D614-4FEE-AE54-E4DEBAD3250D}"/>
  <tableColumns count="7">
    <tableColumn id="1" xr3:uid="{C2D0D149-6D39-4309-865D-F073B717FE2A}" name="Activities completed (select from the dropdown list)" totalsRowDxfId="4262"/>
    <tableColumn id="7" xr3:uid="{7238FE9D-FD39-475F-9C69-D140AE0A2FF1}" name="Describe the activity. What was done? What was the topic? How does this support your strategy? What was the desired outcome of this activity? Please be as descriptive/detailed as possible." dataDxfId="4261" totalsRowDxfId="4260"/>
    <tableColumn id="3" xr3:uid="{96F0BEB9-952D-4356-AFB0-EE0DAE17BC36}" name="# of hours" totalsRowFunction="custom" dataDxfId="4259" totalsRowDxfId="4258">
      <totalsRowFormula>SUM(Table13267810487['# of hours])</totalsRowFormula>
    </tableColumn>
    <tableColumn id="9" xr3:uid="{FEF22780-2FD0-4ACA-BCDA-1CC9E7726907}" name="# of people reached" totalsRowFunction="custom" dataDxfId="4257" totalsRowDxfId="4256">
      <totalsRowFormula>SUM(Table13267810487['# of people reached])</totalsRowFormula>
    </tableColumn>
    <tableColumn id="10" xr3:uid="{5F8E2525-2B15-4DA4-A705-6E16E517BBCC}" name="# of participants" totalsRowFunction="custom" dataDxfId="4255" totalsRowDxfId="4254">
      <totalsRowFormula>SUM(Table13267810487['# of participants])</totalsRowFormula>
    </tableColumn>
    <tableColumn id="11" xr3:uid="{4C4D659B-2573-48FA-91EC-AE47692F79A0}" name="# of items handed out" totalsRowFunction="sum" dataDxfId="4253" totalsRowDxfId="4252"/>
    <tableColumn id="12" xr3:uid="{DE669E41-A3AA-4756-9417-EF55B216AD28}" name="Reimbursement Amount Requested" totalsRowFunction="sum" dataDxfId="4251" totalsRowDxfId="4250" dataCellStyle="Currency" totalsRowCellStyle="Currency"/>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7" xr:uid="{FA8FB074-3CFF-41ED-B3B2-52606DB84892}" name="Table1326781011488" displayName="Table1326781011488" ref="A80:G86" totalsRowCount="1" headerRowDxfId="4249" dataDxfId="4248" tableBorderDxfId="4247" totalsRowBorderDxfId="4246">
  <autoFilter ref="A80:G85" xr:uid="{FA8FB074-3CFF-41ED-B3B2-52606DB84892}"/>
  <tableColumns count="7">
    <tableColumn id="1" xr3:uid="{5E7C8A1D-BAF2-4B11-AFBB-7C7688D19D3D}" name="Activities completed (select from the dropdown list)" totalsRowDxfId="4245"/>
    <tableColumn id="7" xr3:uid="{2B045497-0361-449B-A92D-2C7704576577}" name="Describe the activity. What was done? What was the topic? How does this support your strategy? What was the desired outcome of this activity? Please be as descriptive/detailed as possible." dataDxfId="4244" totalsRowDxfId="4243"/>
    <tableColumn id="3" xr3:uid="{8FADD409-5969-48D1-A544-BB7952602A58}" name="# of hours" totalsRowFunction="custom" dataDxfId="4242" totalsRowDxfId="4241">
      <totalsRowFormula>SUM(Table1326781011488['# of hours])</totalsRowFormula>
    </tableColumn>
    <tableColumn id="9" xr3:uid="{CD691787-5B43-41FF-9D0C-B3D59CA57E9E}" name="# of people reached" totalsRowFunction="custom" dataDxfId="4240" totalsRowDxfId="4239">
      <totalsRowFormula>SUM(Table1326781011488['# of people reached])</totalsRowFormula>
    </tableColumn>
    <tableColumn id="10" xr3:uid="{407BB955-2334-4229-BB9B-9632FF5E56A0}" name="# of participants" totalsRowFunction="custom" dataDxfId="4238" totalsRowDxfId="4237">
      <totalsRowFormula>SUM(Table1326781011488['# of participants])</totalsRowFormula>
    </tableColumn>
    <tableColumn id="11" xr3:uid="{1D08E969-26DC-4948-88B3-E2E582562C57}" name="# of items handed out" totalsRowFunction="sum" dataDxfId="4236" totalsRowDxfId="4235"/>
    <tableColumn id="12" xr3:uid="{128EE411-B028-41F6-9D88-8931E57A546E}" name="Reimbursement Amount Requested" totalsRowFunction="sum" dataDxfId="4234" totalsRowDxfId="4233" dataCellStyle="Currency" totalsRowCellStyle="Currency"/>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8" xr:uid="{79393C6A-4815-4A48-BB5E-551AD4C9B374}" name="Table132678101112489" displayName="Table132678101112489" ref="A92:G98" totalsRowCount="1" headerRowDxfId="4232" dataDxfId="4231" tableBorderDxfId="4230" totalsRowBorderDxfId="4229">
  <autoFilter ref="A92:G97" xr:uid="{79393C6A-4815-4A48-BB5E-551AD4C9B374}"/>
  <tableColumns count="7">
    <tableColumn id="1" xr3:uid="{DC8EFBF5-C3CC-4D6D-B4C2-A4B8DDF1FB36}" name="Activities completed (select from the dropdown list)" totalsRowDxfId="4228"/>
    <tableColumn id="7" xr3:uid="{AAC48ADF-B705-4625-8081-DB45BE862DAF}" name="Describe the activity. What was done? What was the topic? How does this support your strategy? What was the desired outcome of this activity? Please be as descriptive/detailed as possible." dataDxfId="4227" totalsRowDxfId="4226"/>
    <tableColumn id="3" xr3:uid="{81A5557D-12A1-49AA-9B93-618DDDF3E4B6}" name="# of hours" totalsRowFunction="custom" dataDxfId="4225" totalsRowDxfId="4224">
      <totalsRowFormula>SUM(Table132678101112489['# of hours])</totalsRowFormula>
    </tableColumn>
    <tableColumn id="9" xr3:uid="{9E8413F8-EEA5-4A53-A00B-5F744D10CF5F}" name="# of people reached" totalsRowFunction="custom" dataDxfId="4223" totalsRowDxfId="4222">
      <totalsRowFormula>SUM(Table132678101112489['# of people reached])</totalsRowFormula>
    </tableColumn>
    <tableColumn id="10" xr3:uid="{873E508C-856E-49D3-B343-008F519D3986}" name="# of participants" totalsRowFunction="custom" dataDxfId="4221" totalsRowDxfId="4220">
      <totalsRowFormula>SUM(Table132678101112489['# of participants])</totalsRowFormula>
    </tableColumn>
    <tableColumn id="11" xr3:uid="{BC6B0FC4-6B4C-4DF7-9A4F-BAEC11BE783A}" name="# of items handed out" totalsRowFunction="sum" dataDxfId="4219" totalsRowDxfId="4218"/>
    <tableColumn id="12" xr3:uid="{6EC69F57-1839-4C9B-8D2C-B2A47C69219B}" name="Reimbursement Amount Requested" totalsRowFunction="sum" dataDxfId="4217" totalsRowDxfId="4216" dataCellStyle="Currency"/>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9" xr:uid="{A40C98CA-AEDA-454A-835B-14AFF1813A7A}" name="Table132490" displayName="Table132490" ref="A6:G12" totalsRowCount="1" headerRowDxfId="4215" dataDxfId="4214" tableBorderDxfId="4213" totalsRowBorderDxfId="4212">
  <autoFilter ref="A6:G11" xr:uid="{A40C98CA-AEDA-454A-835B-14AFF1813A7A}"/>
  <tableColumns count="7">
    <tableColumn id="1" xr3:uid="{6655080A-21AF-4537-B5BA-3A50DDBBF715}" name="Activities completed (select from the dropdown list)" totalsRowDxfId="4211"/>
    <tableColumn id="7" xr3:uid="{1C3D4889-09AA-40AF-A1E1-F89C8EBD662C}" name="Describe the activity. What was done? What was the topic? How does this support your strategy? What was the desired outcome of this activity? Please be as descriptive/detailed as possible." dataDxfId="4210" totalsRowDxfId="4209"/>
    <tableColumn id="3" xr3:uid="{76A7F1F3-0C20-43D1-ACB1-9AA5EFD41FDE}" name="# of hours" totalsRowFunction="custom" dataDxfId="4208" totalsRowDxfId="4207">
      <totalsRowFormula>SUM(Table132490['# of hours])</totalsRowFormula>
    </tableColumn>
    <tableColumn id="9" xr3:uid="{C9E83288-4126-4B81-985F-B323A1CE51A4}" name="# of people reached" totalsRowFunction="custom" dataDxfId="4206" totalsRowDxfId="4205">
      <totalsRowFormula>SUM(Table132490['# of people reached])</totalsRowFormula>
    </tableColumn>
    <tableColumn id="10" xr3:uid="{3FA6449E-8AF1-4BE3-BAA7-001763E45F6B}" name="# of participants" totalsRowFunction="custom" dataDxfId="4204" totalsRowDxfId="4203">
      <totalsRowFormula>SUM(Table132490['# of participants])</totalsRowFormula>
    </tableColumn>
    <tableColumn id="11" xr3:uid="{E6601A98-3EFA-4D64-B251-65289F787C9F}" name="# of items handed out" totalsRowFunction="sum" dataDxfId="4202" totalsRowDxfId="4201"/>
    <tableColumn id="12" xr3:uid="{406DE267-9922-4614-882A-E8C065DFE5D2}" name="Reimbursement Amount Requested" totalsRowFunction="sum" dataDxfId="4200" totalsRowDxfId="4199" dataCellStyle="Currency"/>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0" xr:uid="{F301782C-B4D2-4309-8D26-B2B01719D8C4}" name="Table1326491" displayName="Table1326491" ref="A18:G29" totalsRowCount="1" headerRowDxfId="4198" dataDxfId="4197" tableBorderDxfId="4196" totalsRowBorderDxfId="4195">
  <autoFilter ref="A18:G28" xr:uid="{F301782C-B4D2-4309-8D26-B2B01719D8C4}"/>
  <tableColumns count="7">
    <tableColumn id="1" xr3:uid="{B3261AD9-050B-41D4-8E44-9D1FB8421BDE}" name="Activities completed (select from the dropdown list)" totalsRowDxfId="4194"/>
    <tableColumn id="7" xr3:uid="{5E62BA6A-CED5-41CB-8D29-F46C0F6DC364}" name="Describe the activity. What was done? What was the topic? How does this support your strategy? What was the desired outcome of this activity? Please be as descriptive/detailed as possible." dataDxfId="4193" totalsRowDxfId="4192"/>
    <tableColumn id="3" xr3:uid="{A8F65C79-44E8-4CDE-8576-D0541D541E60}" name="# of hours" totalsRowFunction="custom" dataDxfId="4191" totalsRowDxfId="4190">
      <totalsRowFormula>SUM(Table1326491['# of hours])</totalsRowFormula>
    </tableColumn>
    <tableColumn id="9" xr3:uid="{4F52CB87-5BAC-4421-8908-D90DB7085CF0}" name="# of people reached" totalsRowFunction="custom" dataDxfId="4189" totalsRowDxfId="4188">
      <totalsRowFormula>SUM(Table1326491['# of people reached])</totalsRowFormula>
    </tableColumn>
    <tableColumn id="10" xr3:uid="{5BB6144B-4E9F-4BAA-BE05-424DC709E18C}" name="# of participants" totalsRowFunction="custom" dataDxfId="4187" totalsRowDxfId="4186">
      <totalsRowFormula>SUM(Table1326491['# of participants])</totalsRowFormula>
    </tableColumn>
    <tableColumn id="11" xr3:uid="{10BF4317-DAC3-4F9D-B5A4-768CB5EF495F}" name="# of items handed out" totalsRowFunction="sum" dataDxfId="4185" totalsRowDxfId="4184"/>
    <tableColumn id="12" xr3:uid="{FF59410C-5AF5-4719-9D9E-1395393E0B9C}" name="Reimbursement Amount Requested" totalsRowFunction="sum" dataDxfId="4183" totalsRowDxfId="4182" dataCellStyle="Currency" totalsRowCellStyle="Currency"/>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1" xr:uid="{8ED68DCE-6512-4B38-BBED-1CE4336126CF}" name="Table13267492" displayName="Table13267492" ref="A35:G41" totalsRowCount="1" headerRowDxfId="4181" dataDxfId="4180" tableBorderDxfId="4179" totalsRowBorderDxfId="4178">
  <autoFilter ref="A35:G40" xr:uid="{8ED68DCE-6512-4B38-BBED-1CE4336126CF}"/>
  <tableColumns count="7">
    <tableColumn id="1" xr3:uid="{04DF8F99-1797-4141-9DB9-777CA043FA66}" name="Activities completed (select from the dropdown list)" totalsRowDxfId="4177"/>
    <tableColumn id="7" xr3:uid="{29AEF8F6-2000-4AF1-8382-930E0C0A600D}" name="Describe the activity. What was done? What was the topic? How does this support your strategy? What was the desired outcome of this activity? Please be as descriptive/detailed as possible." dataDxfId="4176" totalsRowDxfId="4175"/>
    <tableColumn id="3" xr3:uid="{97BD4F75-ED6C-40FB-9FDF-B4D26BA5B214}" name="# of hours" totalsRowFunction="custom" dataDxfId="4174" totalsRowDxfId="4173">
      <totalsRowFormula>SUM(Table13267492['# of hours])</totalsRowFormula>
    </tableColumn>
    <tableColumn id="9" xr3:uid="{89102706-B685-4D74-A5D7-79A2875EDAF8}" name="# of people reached" totalsRowFunction="custom" dataDxfId="4172" totalsRowDxfId="4171">
      <totalsRowFormula>SUM(Table13267492['# of people reached])</totalsRowFormula>
    </tableColumn>
    <tableColumn id="10" xr3:uid="{52F3F536-3CF6-43F0-8BBA-3B01B0A8BC93}" name="# of participants" totalsRowFunction="custom" dataDxfId="4170" totalsRowDxfId="4169">
      <totalsRowFormula>SUM(Table13267492['# of participants])</totalsRowFormula>
    </tableColumn>
    <tableColumn id="11" xr3:uid="{B0BE0678-0F45-4229-9910-AB6EAE68C1BD}" name="# of items handed out" totalsRowFunction="sum" dataDxfId="4168" totalsRowDxfId="4167"/>
    <tableColumn id="12" xr3:uid="{EB4E3768-E506-4CE5-AB12-A81DF34DB0F6}" name="Reimbursement Amount Requested" totalsRowFunction="sum" dataDxfId="4166" totalsRowDxfId="4165" dataCellStyle="Currency" totalsRowCellStyle="Currency"/>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2" xr:uid="{331D90CA-1C1D-4ED6-B93E-36A66E4AA6AC}" name="Table132678493" displayName="Table132678493" ref="A47:G53" totalsRowCount="1" headerRowDxfId="4164" dataDxfId="4163" tableBorderDxfId="4162" totalsRowBorderDxfId="4161">
  <autoFilter ref="A47:G52" xr:uid="{331D90CA-1C1D-4ED6-B93E-36A66E4AA6AC}"/>
  <tableColumns count="7">
    <tableColumn id="1" xr3:uid="{7B1D56BD-CF4C-4565-A942-C51E4645E35C}" name="Activities completed (select from the dropdown list)" totalsRowDxfId="4160"/>
    <tableColumn id="7" xr3:uid="{588873A2-5FD6-4FB9-AC06-A0F0A9965BAC}" name="Describe the activity. What was done? What was the topic? How does this support your strategy? What was the desired outcome of this activity? Please be as descriptive/detailed as possible." dataDxfId="4159" totalsRowDxfId="4158"/>
    <tableColumn id="3" xr3:uid="{DD1A5C0B-7F96-47CD-9188-AB5B0BE137DB}" name="# of hours" totalsRowFunction="custom" dataDxfId="4157" totalsRowDxfId="4156">
      <totalsRowFormula>SUM(Table132678493['# of hours])</totalsRowFormula>
    </tableColumn>
    <tableColumn id="9" xr3:uid="{D0A948E7-8A2A-4164-850F-C0B816A4C06F}" name="# of people reached" totalsRowFunction="custom" dataDxfId="4155" totalsRowDxfId="4154">
      <totalsRowFormula>SUM(Table132678493['# of people reached])</totalsRowFormula>
    </tableColumn>
    <tableColumn id="10" xr3:uid="{F6D5E4C2-272F-4975-919A-2A2CC4821ABA}" name="# of participants" totalsRowFunction="custom" dataDxfId="4153" totalsRowDxfId="4152">
      <totalsRowFormula>SUM(Table132678493['# of participants])</totalsRowFormula>
    </tableColumn>
    <tableColumn id="11" xr3:uid="{5789B81F-8093-4464-97F1-4FCDAC9C5389}" name="# of items handed out" totalsRowFunction="sum" dataDxfId="4151" totalsRowDxfId="4150"/>
    <tableColumn id="12" xr3:uid="{95C6304F-367F-4D13-A82E-C148FC688CFD}" name="Reimbursement Amount Requested" totalsRowFunction="sum" dataDxfId="4149" totalsRowDxfId="4148" dataCellStyle="Currency"/>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3" xr:uid="{535261E0-ED1C-4C97-80CE-795270F59ACD}" name="Table1326789494" displayName="Table1326789494" ref="A59:G62" totalsRowCount="1" headerRowDxfId="4147" dataDxfId="4146" tableBorderDxfId="4145" totalsRowBorderDxfId="4144">
  <autoFilter ref="A59:G61" xr:uid="{535261E0-ED1C-4C97-80CE-795270F59ACD}"/>
  <tableColumns count="7">
    <tableColumn id="1" xr3:uid="{487D34E8-8BED-44F1-ABF5-F9A1A56CA50C}" name="Activities completed (select from the dropdown list)" totalsRowDxfId="4143"/>
    <tableColumn id="7" xr3:uid="{1D014277-A2CB-4CD3-93FE-C436985A0F07}" name="Describe the activity. What was done? What was the topic? How does this support your strategy? What was the desired outcome of this activity? Please be as descriptive/detailed as possible." dataDxfId="4142" totalsRowDxfId="4141"/>
    <tableColumn id="3" xr3:uid="{7D588767-803A-4EF9-BBAF-60DC76C9A822}" name="# of hours" totalsRowFunction="custom" dataDxfId="4140" totalsRowDxfId="4139">
      <totalsRowFormula>SUM(Table1326789494['# of hours])</totalsRowFormula>
    </tableColumn>
    <tableColumn id="9" xr3:uid="{CD0E50B0-1A89-46EC-98E8-F7E249AA7CE3}" name="# of people reached" totalsRowFunction="custom" dataDxfId="4138" totalsRowDxfId="4137">
      <totalsRowFormula>SUM(Table1326789494['# of people reached])</totalsRowFormula>
    </tableColumn>
    <tableColumn id="10" xr3:uid="{AA6A00B2-9AFD-4980-86FF-9DE90FC8D618}" name="# of participants" totalsRowFunction="custom" dataDxfId="4136" totalsRowDxfId="4135">
      <totalsRowFormula>SUM(Table1326789494['# of participants])</totalsRowFormula>
    </tableColumn>
    <tableColumn id="11" xr3:uid="{4A0A3ECB-A188-4A1A-9215-CDC927181E44}" name="# of items handed out" totalsRowFunction="sum" dataDxfId="4134" totalsRowDxfId="4133"/>
    <tableColumn id="12" xr3:uid="{7D14EFE4-3F7B-4C66-AF90-2E17FD384DCE}" name="Reimbursement Amount Requested" totalsRowFunction="sum" dataDxfId="4132" totalsRowDxfId="4131" dataCellStyle="Currency"/>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4" xr:uid="{7822F089-B2D9-4996-8021-9E8011455168}" name="Table13267810495" displayName="Table13267810495" ref="A68:G74" totalsRowCount="1" headerRowDxfId="4130" dataDxfId="4129" tableBorderDxfId="4128" totalsRowBorderDxfId="4127">
  <autoFilter ref="A68:G73" xr:uid="{7822F089-B2D9-4996-8021-9E8011455168}"/>
  <tableColumns count="7">
    <tableColumn id="1" xr3:uid="{4F26B39B-7E02-4664-B321-3B11A1F58DF5}" name="Activities completed (select from the dropdown list)" totalsRowDxfId="4126"/>
    <tableColumn id="7" xr3:uid="{FCC56248-9BDC-49E0-AAB8-03953CE91C47}" name="Describe the activity. What was done? What was the topic? How does this support your strategy? What was the desired outcome of this activity? Please be as descriptive/detailed as possible." dataDxfId="4125" totalsRowDxfId="4124"/>
    <tableColumn id="3" xr3:uid="{D019209B-5B49-4655-BA81-2921762D5032}" name="# of hours" totalsRowFunction="custom" dataDxfId="4123" totalsRowDxfId="4122">
      <totalsRowFormula>SUM(Table13267810495['# of hours])</totalsRowFormula>
    </tableColumn>
    <tableColumn id="9" xr3:uid="{0D19DC63-7544-4541-8023-5EDE572969DE}" name="# of people reached" totalsRowFunction="custom" dataDxfId="4121" totalsRowDxfId="4120">
      <totalsRowFormula>SUM(Table13267810495['# of people reached])</totalsRowFormula>
    </tableColumn>
    <tableColumn id="10" xr3:uid="{12BC8298-5690-4A84-B4F7-923E7309E17A}" name="# of participants" totalsRowFunction="custom" dataDxfId="4119" totalsRowDxfId="4118">
      <totalsRowFormula>SUM(Table13267810495['# of participants])</totalsRowFormula>
    </tableColumn>
    <tableColumn id="11" xr3:uid="{F25DBCC9-9162-467A-8BD7-979721A9F88C}" name="# of items handed out" totalsRowFunction="sum" dataDxfId="4117" totalsRowDxfId="4116"/>
    <tableColumn id="12" xr3:uid="{142B4D51-7D58-443C-B852-21F44AAEF49A}" name="Reimbursement Amount Requested" totalsRowFunction="sum" dataDxfId="4115" totalsRowDxfId="4114" dataCellStyle="Currency" totalsRowCellStyle="Currency"/>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5" xr:uid="{5B8FA56D-9D23-4251-A3E0-37A42000E78E}" name="Table1326781011496" displayName="Table1326781011496" ref="A80:G86" totalsRowCount="1" headerRowDxfId="4113" dataDxfId="4112" tableBorderDxfId="4111" totalsRowBorderDxfId="4110">
  <autoFilter ref="A80:G85" xr:uid="{5B8FA56D-9D23-4251-A3E0-37A42000E78E}"/>
  <tableColumns count="7">
    <tableColumn id="1" xr3:uid="{81A055DF-45BD-4EC7-9074-20051F599D8B}" name="Activities completed (select from the dropdown list)" totalsRowDxfId="4109"/>
    <tableColumn id="7" xr3:uid="{BEEAD4E1-67C9-4C34-9F4A-E5628D9FAD2E}" name="Describe the activity. What was done? What was the topic? How does this support your strategy? What was the desired outcome of this activity? Please be as descriptive/detailed as possible." dataDxfId="4108" totalsRowDxfId="4107"/>
    <tableColumn id="3" xr3:uid="{DF64494B-71CD-479E-994A-748CAB56BAE0}" name="# of hours" totalsRowFunction="custom" dataDxfId="4106" totalsRowDxfId="4105">
      <totalsRowFormula>SUM(Table1326781011496['# of hours])</totalsRowFormula>
    </tableColumn>
    <tableColumn id="9" xr3:uid="{D1346B23-FA5F-4CA1-9989-856ADF543CCB}" name="# of people reached" totalsRowFunction="custom" dataDxfId="4104" totalsRowDxfId="4103">
      <totalsRowFormula>SUM(Table1326781011496['# of people reached])</totalsRowFormula>
    </tableColumn>
    <tableColumn id="10" xr3:uid="{613FE670-38CD-490C-BD17-4681A37129ED}" name="# of participants" totalsRowFunction="custom" dataDxfId="4102" totalsRowDxfId="4101">
      <totalsRowFormula>SUM(Table1326781011496['# of participants])</totalsRowFormula>
    </tableColumn>
    <tableColumn id="11" xr3:uid="{C84083A4-64DE-4C96-A5D4-335424354D94}" name="# of items handed out" totalsRowFunction="sum" dataDxfId="4100" totalsRowDxfId="4099"/>
    <tableColumn id="12" xr3:uid="{E7798532-E53B-48DD-A2EE-86CCA3DEB890}" name="Reimbursement Amount Requested" totalsRowFunction="sum" dataDxfId="4098" totalsRowDxfId="4097" dataCellStyle="Currency" totalsRowCellStyle="Currency"/>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6" xr:uid="{9C5E2DDE-9CAB-4408-BB1C-4D649D1D0724}" name="Table132678101112497" displayName="Table132678101112497" ref="A92:G98" totalsRowCount="1" headerRowDxfId="4096" dataDxfId="4095" tableBorderDxfId="4094" totalsRowBorderDxfId="4093">
  <autoFilter ref="A92:G97" xr:uid="{9C5E2DDE-9CAB-4408-BB1C-4D649D1D0724}"/>
  <tableColumns count="7">
    <tableColumn id="1" xr3:uid="{742308B7-816F-4588-A7EA-E419F0A9E7CA}" name="Activities completed (select from the dropdown list)" totalsRowDxfId="4092"/>
    <tableColumn id="7" xr3:uid="{2A9DF1AE-85A0-45CF-A95E-72F4540F9BC6}" name="Describe the activity. What was done? What was the topic? How does this support your strategy? What was the desired outcome of this activity? Please be as descriptive/detailed as possible." dataDxfId="4091" totalsRowDxfId="4090"/>
    <tableColumn id="3" xr3:uid="{2AD0DF19-35E5-4014-94B9-DC664220E5F6}" name="# of hours" totalsRowFunction="custom" dataDxfId="4089" totalsRowDxfId="4088">
      <totalsRowFormula>SUM(Table132678101112497['# of hours])</totalsRowFormula>
    </tableColumn>
    <tableColumn id="9" xr3:uid="{5FE98D1C-BB6F-411A-B5E4-13616C7C78E7}" name="# of people reached" totalsRowFunction="custom" dataDxfId="4087" totalsRowDxfId="4086">
      <totalsRowFormula>SUM(Table132678101112497['# of people reached])</totalsRowFormula>
    </tableColumn>
    <tableColumn id="10" xr3:uid="{949AACC3-FAB9-4DA9-B5D2-B26FF24E5C3E}" name="# of participants" totalsRowFunction="custom" dataDxfId="4085" totalsRowDxfId="4084">
      <totalsRowFormula>SUM(Table132678101112497['# of participants])</totalsRowFormula>
    </tableColumn>
    <tableColumn id="11" xr3:uid="{C37423A7-2C60-4919-ADBE-2D0AF9306744}" name="# of items handed out" totalsRowFunction="sum" dataDxfId="4083" totalsRowDxfId="4082"/>
    <tableColumn id="12" xr3:uid="{C5FD08FB-25FC-419E-BFA3-253FC5680245}" name="Reimbursement Amount Requested" totalsRowFunction="sum" dataDxfId="4081" totalsRowDxfId="4080" dataCellStyle="Currency"/>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7" xr:uid="{2FA4CE35-74F2-476A-B2A8-FB2DBD2840D6}" name="Table132498" displayName="Table132498" ref="A6:G12" totalsRowCount="1" headerRowDxfId="4079" dataDxfId="4078" tableBorderDxfId="4077" totalsRowBorderDxfId="4076">
  <autoFilter ref="A6:G11" xr:uid="{2FA4CE35-74F2-476A-B2A8-FB2DBD2840D6}"/>
  <tableColumns count="7">
    <tableColumn id="1" xr3:uid="{B58C1183-6977-4322-B889-8E89A53745F1}" name="Activities completed (select from the dropdown list)" totalsRowDxfId="4075"/>
    <tableColumn id="7" xr3:uid="{C4F6C8AB-1A52-4FF5-A68B-5156960DDCD6}" name="Describe the activity. What was done? What was the topic? How does this support your strategy? What was the desired outcome of this activity? Please be as descriptive/detailed as possible." dataDxfId="4074" totalsRowDxfId="4073"/>
    <tableColumn id="3" xr3:uid="{E5237A8F-CF4E-4727-82E7-E0ED22506168}" name="# of hours" totalsRowFunction="custom" dataDxfId="4072" totalsRowDxfId="4071">
      <totalsRowFormula>SUM(Table132498['# of hours])</totalsRowFormula>
    </tableColumn>
    <tableColumn id="9" xr3:uid="{6677FE79-D40D-4969-9D09-AAE8E3D0E9CB}" name="# of people reached" totalsRowFunction="custom" dataDxfId="4070" totalsRowDxfId="4069">
      <totalsRowFormula>SUM(Table132498['# of people reached])</totalsRowFormula>
    </tableColumn>
    <tableColumn id="10" xr3:uid="{AAA74A0B-6A56-461B-9A8C-CE63C2A8A99C}" name="# of participants" totalsRowFunction="custom" dataDxfId="4068" totalsRowDxfId="4067">
      <totalsRowFormula>SUM(Table132498['# of participants])</totalsRowFormula>
    </tableColumn>
    <tableColumn id="11" xr3:uid="{28C4C309-685C-4CAC-9C7D-90421C7C0FA3}" name="# of items handed out" totalsRowFunction="sum" dataDxfId="4066" totalsRowDxfId="4065"/>
    <tableColumn id="12" xr3:uid="{EFF1F1C6-272C-4454-B9BA-926FE08A20B8}" name="Reimbursement Amount Requested" totalsRowFunction="sum" dataDxfId="4064" totalsRowDxfId="4063" dataCellStyle="Currency"/>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8" xr:uid="{9FD64A01-6C7C-4372-A949-6F577DD9D380}" name="Table1326499" displayName="Table1326499" ref="A18:G29" totalsRowCount="1" headerRowDxfId="4062" dataDxfId="4061" tableBorderDxfId="4060" totalsRowBorderDxfId="4059">
  <autoFilter ref="A18:G28" xr:uid="{9FD64A01-6C7C-4372-A949-6F577DD9D380}"/>
  <tableColumns count="7">
    <tableColumn id="1" xr3:uid="{6FA8ACA9-48A4-4EC4-AD56-9B296163BA4A}" name="Activities completed (select from the dropdown list)" totalsRowDxfId="4058"/>
    <tableColumn id="7" xr3:uid="{ECE4E746-80D2-4E6B-963F-CB61C7C7098D}" name="Describe the activity. What was done? What was the topic? How does this support your strategy? What was the desired outcome of this activity? Please be as descriptive/detailed as possible." dataDxfId="4057" totalsRowDxfId="4056"/>
    <tableColumn id="3" xr3:uid="{568602FE-19C5-47A4-ADA1-188F24205D2C}" name="# of hours" totalsRowFunction="custom" dataDxfId="4055" totalsRowDxfId="4054">
      <totalsRowFormula>SUM(Table1326499['# of hours])</totalsRowFormula>
    </tableColumn>
    <tableColumn id="9" xr3:uid="{24757E31-2E07-4F21-8599-98591F67E0E4}" name="# of people reached" totalsRowFunction="custom" dataDxfId="4053" totalsRowDxfId="4052">
      <totalsRowFormula>SUM(Table1326499['# of people reached])</totalsRowFormula>
    </tableColumn>
    <tableColumn id="10" xr3:uid="{0F0BFB66-B0CF-4407-B920-D9F71D607169}" name="# of participants" totalsRowFunction="custom" dataDxfId="4051" totalsRowDxfId="4050">
      <totalsRowFormula>SUM(Table1326499['# of participants])</totalsRowFormula>
    </tableColumn>
    <tableColumn id="11" xr3:uid="{24B12E63-47EF-4C65-9330-1C03FB307BC0}" name="# of items handed out" totalsRowFunction="sum" dataDxfId="4049" totalsRowDxfId="4048"/>
    <tableColumn id="12" xr3:uid="{56265624-75E9-4BB1-8963-754236735A18}" name="Reimbursement Amount Requested" totalsRowFunction="sum" dataDxfId="4047" totalsRowDxfId="4046" dataCellStyle="Currency" totalsRowCellStyle="Currency"/>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9" xr:uid="{8C058543-4119-46E0-8151-D2D4B16A16E0}" name="Table13267500" displayName="Table13267500" ref="A35:G41" totalsRowCount="1" headerRowDxfId="4045" dataDxfId="4044" tableBorderDxfId="4043" totalsRowBorderDxfId="4042">
  <autoFilter ref="A35:G40" xr:uid="{8C058543-4119-46E0-8151-D2D4B16A16E0}"/>
  <tableColumns count="7">
    <tableColumn id="1" xr3:uid="{E7945414-4AEC-4162-BAA2-D5ED39F52D69}" name="Activities completed (select from the dropdown list)" totalsRowDxfId="4041"/>
    <tableColumn id="7" xr3:uid="{677C9FDC-A138-4E32-9696-7A4EEE6B7F80}" name="Describe the activity. What was done? What was the topic? How does this support your strategy? What was the desired outcome of this activity? Please be as descriptive/detailed as possible." dataDxfId="4040" totalsRowDxfId="4039"/>
    <tableColumn id="3" xr3:uid="{2662319E-B855-4401-B29B-E44167471AD2}" name="# of hours" totalsRowFunction="custom" dataDxfId="4038" totalsRowDxfId="4037">
      <totalsRowFormula>SUM(Table13267500['# of hours])</totalsRowFormula>
    </tableColumn>
    <tableColumn id="9" xr3:uid="{7F29B877-3693-4502-8C25-1EE5B737B2E2}" name="# of people reached" totalsRowFunction="custom" dataDxfId="4036" totalsRowDxfId="4035">
      <totalsRowFormula>SUM(Table13267500['# of people reached])</totalsRowFormula>
    </tableColumn>
    <tableColumn id="10" xr3:uid="{E358E16C-DD7F-412B-8B55-3630B2956E7A}" name="# of participants" totalsRowFunction="custom" dataDxfId="4034" totalsRowDxfId="4033">
      <totalsRowFormula>SUM(Table13267500['# of participants])</totalsRowFormula>
    </tableColumn>
    <tableColumn id="11" xr3:uid="{322443EA-194D-4D85-B2AE-1848C493C2F6}" name="# of items handed out" totalsRowFunction="sum" dataDxfId="4032" totalsRowDxfId="4031"/>
    <tableColumn id="12" xr3:uid="{D3528658-73AD-4D13-A63F-92FA02F779D3}" name="Reimbursement Amount Requested" totalsRowFunction="sum" dataDxfId="4030" totalsRowDxfId="4029" dataCellStyle="Currency" totalsRowCellStyle="Currency"/>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0" xr:uid="{FADB0CBA-2D4F-4936-87B7-0B90CBB8AE4D}" name="Table132678501" displayName="Table132678501" ref="A47:G53" totalsRowCount="1" headerRowDxfId="4028" dataDxfId="4027" tableBorderDxfId="4026" totalsRowBorderDxfId="4025">
  <autoFilter ref="A47:G52" xr:uid="{FADB0CBA-2D4F-4936-87B7-0B90CBB8AE4D}"/>
  <tableColumns count="7">
    <tableColumn id="1" xr3:uid="{C3B69788-91A3-4507-AC8E-E338A5C392E9}" name="Activities completed (select from the dropdown list)" totalsRowDxfId="4024"/>
    <tableColumn id="7" xr3:uid="{D32740BB-E906-4632-B4DD-9624AE48D956}" name="Describe the activity. What was done? What was the topic? How does this support your strategy? What was the desired outcome of this activity? Please be as descriptive/detailed as possible." dataDxfId="4023" totalsRowDxfId="4022"/>
    <tableColumn id="3" xr3:uid="{FAF1B2F8-AAF0-4B55-9911-19D97BC62767}" name="# of hours" totalsRowFunction="custom" dataDxfId="4021" totalsRowDxfId="4020">
      <totalsRowFormula>SUM(Table132678501['# of hours])</totalsRowFormula>
    </tableColumn>
    <tableColumn id="9" xr3:uid="{7C01AB3D-D3D5-42B3-9E5E-8302835B4139}" name="# of people reached" totalsRowFunction="custom" dataDxfId="4019" totalsRowDxfId="4018">
      <totalsRowFormula>SUM(Table132678501['# of people reached])</totalsRowFormula>
    </tableColumn>
    <tableColumn id="10" xr3:uid="{0744C915-8751-45AD-A007-BA684D548C8E}" name="# of participants" totalsRowFunction="custom" dataDxfId="4017" totalsRowDxfId="4016">
      <totalsRowFormula>SUM(Table132678501['# of participants])</totalsRowFormula>
    </tableColumn>
    <tableColumn id="11" xr3:uid="{293E3351-6DE6-473D-B6FD-C8762E697F9E}" name="# of items handed out" totalsRowFunction="sum" dataDxfId="4015" totalsRowDxfId="4014"/>
    <tableColumn id="12" xr3:uid="{A63F049E-F2AF-431D-844F-279F49DC003A}" name="Reimbursement Amount Requested" totalsRowFunction="sum" dataDxfId="4013" totalsRowDxfId="4012" dataCellStyle="Currency"/>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1" xr:uid="{149BC47B-253F-4C65-85A5-5A9995E38C50}" name="Table1326789502" displayName="Table1326789502" ref="A59:G62" totalsRowCount="1" headerRowDxfId="4011" dataDxfId="4010" tableBorderDxfId="4009" totalsRowBorderDxfId="4008">
  <autoFilter ref="A59:G61" xr:uid="{149BC47B-253F-4C65-85A5-5A9995E38C50}"/>
  <tableColumns count="7">
    <tableColumn id="1" xr3:uid="{158EBE6E-E030-4137-81BC-68C89385A89F}" name="Activities completed (select from the dropdown list)" totalsRowDxfId="4007"/>
    <tableColumn id="7" xr3:uid="{27BFFE25-84B7-4BF0-96DF-2221CE375403}" name="Describe the activity. What was done? What was the topic? How does this support your strategy? What was the desired outcome of this activity? Please be as descriptive/detailed as possible." dataDxfId="4006" totalsRowDxfId="4005"/>
    <tableColumn id="3" xr3:uid="{C00489C2-F48E-4DF7-A0DE-C00E42D82545}" name="# of hours" totalsRowFunction="custom" dataDxfId="4004" totalsRowDxfId="4003">
      <totalsRowFormula>SUM(Table1326789502['# of hours])</totalsRowFormula>
    </tableColumn>
    <tableColumn id="9" xr3:uid="{05BA69A6-3904-49AA-AE1C-11F51A283760}" name="# of people reached" totalsRowFunction="custom" dataDxfId="4002" totalsRowDxfId="4001">
      <totalsRowFormula>SUM(Table1326789502['# of people reached])</totalsRowFormula>
    </tableColumn>
    <tableColumn id="10" xr3:uid="{089A3349-A116-4FAD-BA71-9C98B815016F}" name="# of participants" totalsRowFunction="custom" dataDxfId="4000" totalsRowDxfId="3999">
      <totalsRowFormula>SUM(Table1326789502['# of participants])</totalsRowFormula>
    </tableColumn>
    <tableColumn id="11" xr3:uid="{FD78BC95-BBDD-453E-B44C-CD1DF24C2D44}" name="# of items handed out" totalsRowFunction="sum" dataDxfId="3998" totalsRowDxfId="3997"/>
    <tableColumn id="12" xr3:uid="{9F601B0F-3862-4289-8C11-B6EDBA4752DD}" name="Reimbursement Amount Requested" totalsRowFunction="sum" dataDxfId="3996" totalsRowDxfId="3995" dataCellStyle="Currency"/>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2" xr:uid="{C2262E26-6F7C-44AF-9520-6F772550E9FF}" name="Table13267810503" displayName="Table13267810503" ref="A68:G74" totalsRowCount="1" headerRowDxfId="3994" dataDxfId="3993" tableBorderDxfId="3992" totalsRowBorderDxfId="3991">
  <autoFilter ref="A68:G73" xr:uid="{C2262E26-6F7C-44AF-9520-6F772550E9FF}"/>
  <tableColumns count="7">
    <tableColumn id="1" xr3:uid="{2A76FD8E-5A29-4B27-BD5B-DC5C5D8038D9}" name="Activities completed (select from the dropdown list)" totalsRowDxfId="3990"/>
    <tableColumn id="7" xr3:uid="{D8039A08-E309-4899-AC9C-D03F2E39B78E}" name="Describe the activity. What was done? What was the topic? How does this support your strategy? What was the desired outcome of this activity? Please be as descriptive/detailed as possible." dataDxfId="3989" totalsRowDxfId="3988"/>
    <tableColumn id="3" xr3:uid="{6B897A2A-78A1-4552-9106-E38C1AC24F17}" name="# of hours" totalsRowFunction="custom" dataDxfId="3987" totalsRowDxfId="3986">
      <totalsRowFormula>SUM(Table13267810503['# of hours])</totalsRowFormula>
    </tableColumn>
    <tableColumn id="9" xr3:uid="{EA7BBD18-0A65-4362-BAF9-34EF238112C8}" name="# of people reached" totalsRowFunction="custom" dataDxfId="3985" totalsRowDxfId="3984">
      <totalsRowFormula>SUM(Table13267810503['# of people reached])</totalsRowFormula>
    </tableColumn>
    <tableColumn id="10" xr3:uid="{CF2F46A2-9685-43D9-AF5D-BF494B78945C}" name="# of participants" totalsRowFunction="custom" dataDxfId="3983" totalsRowDxfId="3982">
      <totalsRowFormula>SUM(Table13267810503['# of participants])</totalsRowFormula>
    </tableColumn>
    <tableColumn id="11" xr3:uid="{5184D14D-591C-4A11-BF44-48338131BD40}" name="# of items handed out" totalsRowFunction="sum" dataDxfId="3981" totalsRowDxfId="3980"/>
    <tableColumn id="12" xr3:uid="{8DBDDB7A-FD60-481B-8412-B191EC5C96C1}" name="Reimbursement Amount Requested" totalsRowFunction="sum" dataDxfId="3979" totalsRowDxfId="3978" dataCellStyle="Currency" totalsRowCellStyle="Currency"/>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3" xr:uid="{1242B0B5-E83E-41D2-AF4D-27E2F68E8433}" name="Table1326781011504" displayName="Table1326781011504" ref="A80:G86" totalsRowCount="1" headerRowDxfId="3977" dataDxfId="3976" tableBorderDxfId="3975" totalsRowBorderDxfId="3974">
  <autoFilter ref="A80:G85" xr:uid="{1242B0B5-E83E-41D2-AF4D-27E2F68E8433}"/>
  <tableColumns count="7">
    <tableColumn id="1" xr3:uid="{1D456814-B96B-491A-934D-4AD78DEC445F}" name="Activities completed (select from the dropdown list)" totalsRowDxfId="3973"/>
    <tableColumn id="7" xr3:uid="{E96CE829-13CA-492A-9CA3-E087ECE282A4}" name="Describe the activity. What was done? What was the topic? How does this support your strategy? What was the desired outcome of this activity? Please be as descriptive/detailed as possible." dataDxfId="3972" totalsRowDxfId="3971"/>
    <tableColumn id="3" xr3:uid="{8655F061-9227-47D9-83C0-3E12E76C3087}" name="# of hours" totalsRowFunction="custom" dataDxfId="3970" totalsRowDxfId="3969">
      <totalsRowFormula>SUM(Table1326781011504['# of hours])</totalsRowFormula>
    </tableColumn>
    <tableColumn id="9" xr3:uid="{FAAB6E2C-30A9-4CEA-91B5-238068765EA4}" name="# of people reached" totalsRowFunction="custom" dataDxfId="3968" totalsRowDxfId="3967">
      <totalsRowFormula>SUM(Table1326781011504['# of people reached])</totalsRowFormula>
    </tableColumn>
    <tableColumn id="10" xr3:uid="{C7A421C9-8E4C-485F-92D1-2ADABB377FB6}" name="# of participants" totalsRowFunction="custom" dataDxfId="3966" totalsRowDxfId="3965">
      <totalsRowFormula>SUM(Table1326781011504['# of participants])</totalsRowFormula>
    </tableColumn>
    <tableColumn id="11" xr3:uid="{656DEA86-8F43-49E5-99BD-5468FBB612B5}" name="# of items handed out" totalsRowFunction="sum" dataDxfId="3964" totalsRowDxfId="3963"/>
    <tableColumn id="12" xr3:uid="{A13CD08F-06A7-4904-BBAF-67BB5EA70DE2}" name="Reimbursement Amount Requested" totalsRowFunction="sum" dataDxfId="3962" totalsRowDxfId="3961" dataCellStyle="Currency" totalsRowCellStyle="Currency"/>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4" xr:uid="{040914FF-2152-42A9-8520-6D6AA10324DD}" name="Table132678101112505" displayName="Table132678101112505" ref="A92:G98" totalsRowCount="1" headerRowDxfId="3960" dataDxfId="3959" tableBorderDxfId="3958" totalsRowBorderDxfId="3957">
  <autoFilter ref="A92:G97" xr:uid="{040914FF-2152-42A9-8520-6D6AA10324DD}"/>
  <tableColumns count="7">
    <tableColumn id="1" xr3:uid="{9FF3685A-882D-42D2-8136-3533CD779150}" name="Activities completed (select from the dropdown list)" totalsRowDxfId="3956"/>
    <tableColumn id="7" xr3:uid="{E985B95A-F2BC-4AA9-B8F1-4AD82E9FA6E0}" name="Describe the activity. What was done? What was the topic? How does this support your strategy? What was the desired outcome of this activity? Please be as descriptive/detailed as possible." dataDxfId="3955" totalsRowDxfId="3954"/>
    <tableColumn id="3" xr3:uid="{2B10F643-2603-452D-8488-BE3E665A9776}" name="# of hours" totalsRowFunction="custom" dataDxfId="3953" totalsRowDxfId="3952">
      <totalsRowFormula>SUM(Table132678101112505['# of hours])</totalsRowFormula>
    </tableColumn>
    <tableColumn id="9" xr3:uid="{4AD7CAC0-1412-482A-988A-946404053C86}" name="# of people reached" totalsRowFunction="custom" dataDxfId="3951" totalsRowDxfId="3950">
      <totalsRowFormula>SUM(Table132678101112505['# of people reached])</totalsRowFormula>
    </tableColumn>
    <tableColumn id="10" xr3:uid="{987C8A2A-E246-43FA-88AD-D296CDA0B09F}" name="# of participants" totalsRowFunction="custom" dataDxfId="3949" totalsRowDxfId="3948">
      <totalsRowFormula>SUM(Table132678101112505['# of participants])</totalsRowFormula>
    </tableColumn>
    <tableColumn id="11" xr3:uid="{B2735E7A-B6D7-435D-9CE4-E3A746144BEC}" name="# of items handed out" totalsRowFunction="sum" dataDxfId="3947" totalsRowDxfId="3946"/>
    <tableColumn id="12" xr3:uid="{162FFD7C-636F-488C-9DFD-CB9B99901296}" name="Reimbursement Amount Requested" totalsRowFunction="sum" dataDxfId="3945" totalsRowDxfId="3944" dataCellStyle="Currency"/>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5" xr:uid="{1252009A-6A1E-4558-9F6D-68870C103E53}" name="Table132506" displayName="Table132506" ref="A6:G12" totalsRowCount="1" headerRowDxfId="3943" dataDxfId="3942" tableBorderDxfId="3941" totalsRowBorderDxfId="3940">
  <autoFilter ref="A6:G11" xr:uid="{1252009A-6A1E-4558-9F6D-68870C103E53}"/>
  <tableColumns count="7">
    <tableColumn id="1" xr3:uid="{13CD38BD-2432-4060-9FC9-4072569C600E}" name="Activities completed (select from the dropdown list)" totalsRowDxfId="3939"/>
    <tableColumn id="7" xr3:uid="{8D813349-73B5-4063-96F9-AE35E339FF06}" name="Describe the activity. What was done? What was the topic? How does this support your strategy? What was the desired outcome of this activity? Please be as descriptive/detailed as possible." dataDxfId="3938" totalsRowDxfId="3937"/>
    <tableColumn id="3" xr3:uid="{B8B04D70-75C2-455F-A620-38DC1D90ADEE}" name="# of hours" totalsRowFunction="custom" dataDxfId="3936" totalsRowDxfId="3935">
      <totalsRowFormula>SUM(Table132506['# of hours])</totalsRowFormula>
    </tableColumn>
    <tableColumn id="9" xr3:uid="{3B261D68-6674-4EB4-80E0-D89A781CB366}" name="# of people reached" totalsRowFunction="custom" dataDxfId="3934" totalsRowDxfId="3933">
      <totalsRowFormula>SUM(Table132506['# of people reached])</totalsRowFormula>
    </tableColumn>
    <tableColumn id="10" xr3:uid="{2D7B8B8D-4628-48F5-8477-723843DADF6A}" name="# of participants" totalsRowFunction="custom" dataDxfId="3932" totalsRowDxfId="3931">
      <totalsRowFormula>SUM(Table132506['# of participants])</totalsRowFormula>
    </tableColumn>
    <tableColumn id="11" xr3:uid="{64799629-7528-4245-BA0E-D5E4150F4DDA}" name="# of items handed out" totalsRowFunction="sum" dataDxfId="3930" totalsRowDxfId="3929"/>
    <tableColumn id="12" xr3:uid="{168384AB-A153-4B38-9733-69052B5486CB}" name="Reimbursement Amount Requested" totalsRowFunction="sum" dataDxfId="3928" totalsRowDxfId="3927" dataCellStyle="Currency"/>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6" xr:uid="{5F82369C-2742-4C23-98F0-84C889EB39CB}" name="Table1326507" displayName="Table1326507" ref="A18:G29" totalsRowCount="1" headerRowDxfId="3926" dataDxfId="3925" tableBorderDxfId="3924" totalsRowBorderDxfId="3923">
  <autoFilter ref="A18:G28" xr:uid="{5F82369C-2742-4C23-98F0-84C889EB39CB}"/>
  <tableColumns count="7">
    <tableColumn id="1" xr3:uid="{B193DAA9-807C-49B4-A995-FE45B60D3B37}" name="Activities completed (select from the dropdown list)" totalsRowDxfId="3922"/>
    <tableColumn id="7" xr3:uid="{1B6DA8BD-610A-4CBF-96F4-283F8615E082}" name="Describe the activity. What was done? What was the topic? How does this support your strategy? What was the desired outcome of this activity? Please be as descriptive/detailed as possible." dataDxfId="3921" totalsRowDxfId="3920"/>
    <tableColumn id="3" xr3:uid="{B954A693-BB43-4E78-AB1E-FB22D8464963}" name="# of hours" totalsRowFunction="custom" dataDxfId="3919" totalsRowDxfId="3918">
      <totalsRowFormula>SUM(Table1326507['# of hours])</totalsRowFormula>
    </tableColumn>
    <tableColumn id="9" xr3:uid="{CA69CCB0-4C94-4CE6-9625-E3107204D877}" name="# of people reached" totalsRowFunction="custom" dataDxfId="3917" totalsRowDxfId="3916">
      <totalsRowFormula>SUM(Table1326507['# of people reached])</totalsRowFormula>
    </tableColumn>
    <tableColumn id="10" xr3:uid="{7061371B-EAB5-4D57-B6C1-AB4D13F5C591}" name="# of participants" totalsRowFunction="custom" dataDxfId="3915" totalsRowDxfId="3914">
      <totalsRowFormula>SUM(Table1326507['# of participants])</totalsRowFormula>
    </tableColumn>
    <tableColumn id="11" xr3:uid="{CF8FA958-4902-422D-9112-907F4595C85C}" name="# of items handed out" totalsRowFunction="sum" dataDxfId="3913" totalsRowDxfId="3912"/>
    <tableColumn id="12" xr3:uid="{BECC22E2-12D3-4FC9-A58A-2F4ED4B8D1DA}" name="Reimbursement Amount Requested" totalsRowFunction="sum" dataDxfId="3911" totalsRowDxfId="3910" dataCellStyle="Currency" totalsRowCellStyle="Currency"/>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7" xr:uid="{C77D58D9-5DF6-447C-A4D2-BF132D5C5B60}" name="Table13267508" displayName="Table13267508" ref="A35:G41" totalsRowCount="1" headerRowDxfId="3909" dataDxfId="3908" tableBorderDxfId="3907" totalsRowBorderDxfId="3906">
  <autoFilter ref="A35:G40" xr:uid="{C77D58D9-5DF6-447C-A4D2-BF132D5C5B60}"/>
  <tableColumns count="7">
    <tableColumn id="1" xr3:uid="{C5347DDB-C730-4BB5-A158-2C467C7DF8E8}" name="Activities completed (select from the dropdown list)" totalsRowDxfId="3905"/>
    <tableColumn id="7" xr3:uid="{7F5131C9-9C96-4041-8ED4-6DA3839A6D1E}" name="Describe the activity. What was done? What was the topic? How does this support your strategy? What was the desired outcome of this activity? Please be as descriptive/detailed as possible." dataDxfId="3904" totalsRowDxfId="3903"/>
    <tableColumn id="3" xr3:uid="{C53F6B03-6607-4BFC-A74C-FADAE6508CF5}" name="# of hours" totalsRowFunction="custom" dataDxfId="3902" totalsRowDxfId="3901">
      <totalsRowFormula>SUM(Table13267508['# of hours])</totalsRowFormula>
    </tableColumn>
    <tableColumn id="9" xr3:uid="{D7EA1B7E-BFFD-4590-91E5-B573FF62C979}" name="# of people reached" totalsRowFunction="custom" dataDxfId="3900" totalsRowDxfId="3899">
      <totalsRowFormula>SUM(Table13267508['# of people reached])</totalsRowFormula>
    </tableColumn>
    <tableColumn id="10" xr3:uid="{390B2106-BF85-4EA1-BAE1-DA27B04882F7}" name="# of participants" totalsRowFunction="custom" dataDxfId="3898" totalsRowDxfId="3897">
      <totalsRowFormula>SUM(Table13267508['# of participants])</totalsRowFormula>
    </tableColumn>
    <tableColumn id="11" xr3:uid="{679ED762-1BBC-4DC3-BC77-13AA86204FB3}" name="# of items handed out" totalsRowFunction="sum" dataDxfId="3896" totalsRowDxfId="3895"/>
    <tableColumn id="12" xr3:uid="{BD413AF4-41E4-48E9-9CF0-5A67E68000DA}" name="Reimbursement Amount Requested" totalsRowFunction="sum" dataDxfId="3894" totalsRowDxfId="3893" dataCellStyle="Currency" totalsRowCellStyle="Currency"/>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8" xr:uid="{F9C5E3DD-E511-4C2E-9552-C8E7005F9E45}" name="Table132678509" displayName="Table132678509" ref="A47:G53" totalsRowCount="1" headerRowDxfId="3892" dataDxfId="3891" tableBorderDxfId="3890" totalsRowBorderDxfId="3889">
  <autoFilter ref="A47:G52" xr:uid="{F9C5E3DD-E511-4C2E-9552-C8E7005F9E45}"/>
  <tableColumns count="7">
    <tableColumn id="1" xr3:uid="{CF97478C-9FE4-4D22-93D6-E442E3BDA6C3}" name="Activities completed (select from the dropdown list)" totalsRowDxfId="3888"/>
    <tableColumn id="7" xr3:uid="{DC8DABF0-911D-4942-A4DF-851D0CEB7768}" name="Describe the activity. What was done? What was the topic? How does this support your strategy? What was the desired outcome of this activity? Please be as descriptive/detailed as possible." dataDxfId="3887" totalsRowDxfId="3886"/>
    <tableColumn id="3" xr3:uid="{96212EF7-95E1-49B0-8ABE-01B5CD323791}" name="# of hours" totalsRowFunction="custom" dataDxfId="3885" totalsRowDxfId="3884">
      <totalsRowFormula>SUM(Table132678509['# of hours])</totalsRowFormula>
    </tableColumn>
    <tableColumn id="9" xr3:uid="{C7C626EA-46F7-443E-BDAB-718C206BB3D7}" name="# of people reached" totalsRowFunction="custom" dataDxfId="3883" totalsRowDxfId="3882">
      <totalsRowFormula>SUM(Table132678509['# of people reached])</totalsRowFormula>
    </tableColumn>
    <tableColumn id="10" xr3:uid="{0D701284-BFCF-4873-85AE-70B2833FC722}" name="# of participants" totalsRowFunction="custom" dataDxfId="3881" totalsRowDxfId="3880">
      <totalsRowFormula>SUM(Table132678509['# of participants])</totalsRowFormula>
    </tableColumn>
    <tableColumn id="11" xr3:uid="{875EAA58-4A40-4F55-AD01-246EF9B6A60F}" name="# of items handed out" totalsRowFunction="sum" dataDxfId="3879" totalsRowDxfId="3878"/>
    <tableColumn id="12" xr3:uid="{C6ED092F-253B-413E-B16A-BB94DE8C7723}" name="Reimbursement Amount Requested" totalsRowFunction="sum" dataDxfId="3877" totalsRowDxfId="3876" dataCellStyle="Currency"/>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9" xr:uid="{BD4AA793-AD37-4DF9-ABBB-9D74B0470F56}" name="Table1326789510" displayName="Table1326789510" ref="A59:G62" totalsRowCount="1" headerRowDxfId="3875" dataDxfId="3874" tableBorderDxfId="3873" totalsRowBorderDxfId="3872">
  <autoFilter ref="A59:G61" xr:uid="{BD4AA793-AD37-4DF9-ABBB-9D74B0470F56}"/>
  <tableColumns count="7">
    <tableColumn id="1" xr3:uid="{D19F7E1A-8BDC-4413-83F9-44494D204987}" name="Activities completed (select from the dropdown list)" totalsRowDxfId="3871"/>
    <tableColumn id="7" xr3:uid="{76C8D51B-6D53-4993-BC03-B4C33E6FD1A7}" name="Describe the activity. What was done? What was the topic? How does this support your strategy? What was the desired outcome of this activity? Please be as descriptive/detailed as possible." dataDxfId="3870" totalsRowDxfId="3869"/>
    <tableColumn id="3" xr3:uid="{65780DF0-9734-4A2C-B782-B8DCB9930895}" name="# of hours" totalsRowFunction="custom" dataDxfId="3868" totalsRowDxfId="3867">
      <totalsRowFormula>SUM(Table1326789510['# of hours])</totalsRowFormula>
    </tableColumn>
    <tableColumn id="9" xr3:uid="{D715238D-0D40-4437-9F21-8809389FFA7C}" name="# of people reached" totalsRowFunction="custom" dataDxfId="3866" totalsRowDxfId="3865">
      <totalsRowFormula>SUM(Table1326789510['# of people reached])</totalsRowFormula>
    </tableColumn>
    <tableColumn id="10" xr3:uid="{9E7A28EC-2755-46BB-B871-5A0584D43150}" name="# of participants" totalsRowFunction="custom" dataDxfId="3864" totalsRowDxfId="3863">
      <totalsRowFormula>SUM(Table1326789510['# of participants])</totalsRowFormula>
    </tableColumn>
    <tableColumn id="11" xr3:uid="{593BC514-B34E-4D9B-9E34-E8A29241275B}" name="# of items handed out" totalsRowFunction="sum" dataDxfId="3862" totalsRowDxfId="3861"/>
    <tableColumn id="12" xr3:uid="{F4875A2C-20F8-4D56-A2DB-6C90A55EA25D}" name="Reimbursement Amount Requested" totalsRowFunction="sum" dataDxfId="3860" totalsRowDxfId="3859" dataCellStyle="Currency"/>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0" xr:uid="{F4E07483-B65D-4CAE-981C-4E9B0EF7F9E7}" name="Table13267810511" displayName="Table13267810511" ref="A68:G74" totalsRowCount="1" headerRowDxfId="3858" dataDxfId="3857" tableBorderDxfId="3856" totalsRowBorderDxfId="3855">
  <autoFilter ref="A68:G73" xr:uid="{F4E07483-B65D-4CAE-981C-4E9B0EF7F9E7}"/>
  <tableColumns count="7">
    <tableColumn id="1" xr3:uid="{B80AF76B-4C9B-4CFF-A5AA-6F7490349578}" name="Activities completed (select from the dropdown list)" totalsRowDxfId="3854"/>
    <tableColumn id="7" xr3:uid="{78E7010F-3F63-47FC-A1B5-90C253D008CF}" name="Describe the activity. What was done? What was the topic? How does this support your strategy? What was the desired outcome of this activity? Please be as descriptive/detailed as possible." dataDxfId="3853" totalsRowDxfId="3852"/>
    <tableColumn id="3" xr3:uid="{4C6A87B0-5FCD-46F9-AA1D-F82CB8597D0F}" name="# of hours" totalsRowFunction="custom" dataDxfId="3851" totalsRowDxfId="3850">
      <totalsRowFormula>SUM(Table13267810511['# of hours])</totalsRowFormula>
    </tableColumn>
    <tableColumn id="9" xr3:uid="{550FE844-2934-4BB9-ADE4-604DBC7370A2}" name="# of people reached" totalsRowFunction="custom" dataDxfId="3849" totalsRowDxfId="3848">
      <totalsRowFormula>SUM(Table13267810511['# of people reached])</totalsRowFormula>
    </tableColumn>
    <tableColumn id="10" xr3:uid="{F46AA05C-8180-4A52-928A-C69E02599CB4}" name="# of participants" totalsRowFunction="custom" dataDxfId="3847" totalsRowDxfId="3846">
      <totalsRowFormula>SUM(Table13267810511['# of participants])</totalsRowFormula>
    </tableColumn>
    <tableColumn id="11" xr3:uid="{05EBE3EB-7975-4ED6-9897-AED2D3B6E58D}" name="# of items handed out" totalsRowFunction="sum" dataDxfId="3845" totalsRowDxfId="3844"/>
    <tableColumn id="12" xr3:uid="{211DA2E8-121F-4796-8026-6DE0F7F831A0}" name="Reimbursement Amount Requested" totalsRowFunction="sum" dataDxfId="3843" totalsRowDxfId="3842" dataCellStyle="Currency" totalsRowCellStyle="Currency"/>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1" xr:uid="{D30921AF-67F4-4E09-AA1E-A8E70A446654}" name="Table1326781011512" displayName="Table1326781011512" ref="A80:G86" totalsRowCount="1" headerRowDxfId="3841" dataDxfId="3840" tableBorderDxfId="3839" totalsRowBorderDxfId="3838">
  <autoFilter ref="A80:G85" xr:uid="{D30921AF-67F4-4E09-AA1E-A8E70A446654}"/>
  <tableColumns count="7">
    <tableColumn id="1" xr3:uid="{CE710422-36B6-4CE6-BC2F-E6DECB8D1EEC}" name="Activities completed (select from the dropdown list)" totalsRowDxfId="3837"/>
    <tableColumn id="7" xr3:uid="{6F3081A6-B0A7-48C4-A303-64685BDD6BDA}" name="Describe the activity. What was done? What was the topic? How does this support your strategy? What was the desired outcome of this activity? Please be as descriptive/detailed as possible." dataDxfId="3836" totalsRowDxfId="3835"/>
    <tableColumn id="3" xr3:uid="{0042222E-1267-426F-AC95-A4649B054655}" name="# of hours" totalsRowFunction="custom" dataDxfId="3834" totalsRowDxfId="3833">
      <totalsRowFormula>SUM(Table1326781011512['# of hours])</totalsRowFormula>
    </tableColumn>
    <tableColumn id="9" xr3:uid="{FB754165-E910-4BCB-9511-4FFCDD1BDEA7}" name="# of people reached" totalsRowFunction="custom" dataDxfId="3832" totalsRowDxfId="3831">
      <totalsRowFormula>SUM(Table1326781011512['# of people reached])</totalsRowFormula>
    </tableColumn>
    <tableColumn id="10" xr3:uid="{BDA04E00-A38F-4D15-8D33-E3C38AA38CF1}" name="# of participants" totalsRowFunction="custom" dataDxfId="3830" totalsRowDxfId="3829">
      <totalsRowFormula>SUM(Table1326781011512['# of participants])</totalsRowFormula>
    </tableColumn>
    <tableColumn id="11" xr3:uid="{326EBB71-0429-425B-9670-7B045DEF6D01}" name="# of items handed out" totalsRowFunction="sum" dataDxfId="3828" totalsRowDxfId="3827"/>
    <tableColumn id="12" xr3:uid="{3DFB24FE-C177-4340-A755-F813B44306F4}" name="Reimbursement Amount Requested" totalsRowFunction="sum" dataDxfId="3826" totalsRowDxfId="3825" dataCellStyle="Currency" totalsRowCellStyle="Currency"/>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2" xr:uid="{FE971022-54DA-4B27-9D22-4B6B4231ED52}" name="Table132678101112513" displayName="Table132678101112513" ref="A92:G98" totalsRowCount="1" headerRowDxfId="3824" dataDxfId="3823" tableBorderDxfId="3822" totalsRowBorderDxfId="3821">
  <autoFilter ref="A92:G97" xr:uid="{FE971022-54DA-4B27-9D22-4B6B4231ED52}"/>
  <tableColumns count="7">
    <tableColumn id="1" xr3:uid="{D15DCA33-2385-4B44-BB51-306362E729A5}" name="Activities completed (select from the dropdown list)" totalsRowDxfId="3820"/>
    <tableColumn id="7" xr3:uid="{842FB103-2184-45FA-9C7F-CCCB9C419E7E}" name="Describe the activity. What was done? What was the topic? How does this support your strategy? What was the desired outcome of this activity? Please be as descriptive/detailed as possible." dataDxfId="3819" totalsRowDxfId="3818"/>
    <tableColumn id="3" xr3:uid="{7D047038-7916-48E8-8EA8-A063301F36A3}" name="# of hours" totalsRowFunction="custom" dataDxfId="3817" totalsRowDxfId="3816">
      <totalsRowFormula>SUM(Table132678101112513['# of hours])</totalsRowFormula>
    </tableColumn>
    <tableColumn id="9" xr3:uid="{2359CA6D-126D-4082-883A-02C7FC59FD7B}" name="# of people reached" totalsRowFunction="custom" dataDxfId="3815" totalsRowDxfId="3814">
      <totalsRowFormula>SUM(Table132678101112513['# of people reached])</totalsRowFormula>
    </tableColumn>
    <tableColumn id="10" xr3:uid="{F01936D9-4F4A-46F1-A984-0B45CF36FD72}" name="# of participants" totalsRowFunction="custom" dataDxfId="3813" totalsRowDxfId="3812">
      <totalsRowFormula>SUM(Table132678101112513['# of participants])</totalsRowFormula>
    </tableColumn>
    <tableColumn id="11" xr3:uid="{E625CD98-7C72-412C-B6C2-31936C28BFFB}" name="# of items handed out" totalsRowFunction="sum" dataDxfId="3811" totalsRowDxfId="3810"/>
    <tableColumn id="12" xr3:uid="{1D9D2785-7686-4CD9-A014-4996E541E0DD}" name="Reimbursement Amount Requested" totalsRowFunction="sum" dataDxfId="3809" totalsRowDxfId="3808" dataCellStyle="Currency"/>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3" xr:uid="{B51559E7-5908-4A05-B2AB-4E292D8FCACC}" name="Table132514" displayName="Table132514" ref="A6:G12" totalsRowCount="1" headerRowDxfId="3807" dataDxfId="3806" tableBorderDxfId="3805" totalsRowBorderDxfId="3804">
  <autoFilter ref="A6:G11" xr:uid="{B51559E7-5908-4A05-B2AB-4E292D8FCACC}"/>
  <tableColumns count="7">
    <tableColumn id="1" xr3:uid="{AF789D41-8497-4C5C-8951-03A1E3DA8745}" name="Activities completed (select from the dropdown list)" totalsRowDxfId="3803"/>
    <tableColumn id="7" xr3:uid="{0F9A01AA-1EF8-4CB4-8D63-591DE517FB99}" name="Describe the activity. What was done? What was the topic? How does this support your strategy? What was the desired outcome of this activity? Please be as descriptive/detailed as possible." dataDxfId="3802" totalsRowDxfId="3801"/>
    <tableColumn id="3" xr3:uid="{6AFB9B0B-06BF-494F-8529-48F6B7F15FAD}" name="# of hours" totalsRowFunction="custom" dataDxfId="3800" totalsRowDxfId="3799">
      <totalsRowFormula>SUM(Table132514['# of hours])</totalsRowFormula>
    </tableColumn>
    <tableColumn id="9" xr3:uid="{15AB8584-B858-4279-A787-ABE3588E997E}" name="# of people reached" totalsRowFunction="custom" dataDxfId="3798" totalsRowDxfId="3797">
      <totalsRowFormula>SUM(Table132514['# of people reached])</totalsRowFormula>
    </tableColumn>
    <tableColumn id="10" xr3:uid="{A40A06DC-DFEC-4596-8FCF-F76A352AE6EF}" name="# of participants" totalsRowFunction="custom" dataDxfId="3796" totalsRowDxfId="3795">
      <totalsRowFormula>SUM(Table132514['# of participants])</totalsRowFormula>
    </tableColumn>
    <tableColumn id="11" xr3:uid="{687C95D6-41A1-4AEC-AF0A-B45177DDF305}" name="# of items handed out" totalsRowFunction="sum" dataDxfId="3794" totalsRowDxfId="3793"/>
    <tableColumn id="12" xr3:uid="{4C3B9C43-6F7B-4DD7-A77A-9B3797CBEC75}" name="Reimbursement Amount Requested" totalsRowFunction="sum" dataDxfId="3792" totalsRowDxfId="3791" dataCellStyle="Currency"/>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4" xr:uid="{78D374E5-356B-42B0-8922-1A29692DAB05}" name="Table1326515" displayName="Table1326515" ref="A18:G29" totalsRowCount="1" headerRowDxfId="3790" dataDxfId="3789" tableBorderDxfId="3788" totalsRowBorderDxfId="3787">
  <autoFilter ref="A18:G28" xr:uid="{78D374E5-356B-42B0-8922-1A29692DAB05}"/>
  <tableColumns count="7">
    <tableColumn id="1" xr3:uid="{55F7BF59-CBB5-4962-AD77-5A900762736B}" name="Activities completed (select from the dropdown list)" totalsRowDxfId="3786"/>
    <tableColumn id="7" xr3:uid="{DF2B7984-91B1-4FA9-844D-8658CDFDE169}" name="Describe the activity. What was done? What was the topic? How does this support your strategy? What was the desired outcome of this activity? Please be as descriptive/detailed as possible." dataDxfId="3785" totalsRowDxfId="3784"/>
    <tableColumn id="3" xr3:uid="{B4656AAA-ACF8-41F1-B727-B3652B6F28E5}" name="# of hours" totalsRowFunction="custom" dataDxfId="3783" totalsRowDxfId="3782">
      <totalsRowFormula>SUM(Table1326515['# of hours])</totalsRowFormula>
    </tableColumn>
    <tableColumn id="9" xr3:uid="{C7FE10DC-5323-4BAE-81A0-AA51314CF5FF}" name="# of people reached" totalsRowFunction="custom" dataDxfId="3781" totalsRowDxfId="3780">
      <totalsRowFormula>SUM(Table1326515['# of people reached])</totalsRowFormula>
    </tableColumn>
    <tableColumn id="10" xr3:uid="{9564B813-44BA-4E35-80B4-3137436A63DF}" name="# of participants" totalsRowFunction="custom" dataDxfId="3779" totalsRowDxfId="3778">
      <totalsRowFormula>SUM(Table1326515['# of participants])</totalsRowFormula>
    </tableColumn>
    <tableColumn id="11" xr3:uid="{F43A0412-F47A-4B0D-91BB-09BD11254E18}" name="# of items handed out" totalsRowFunction="sum" dataDxfId="3777" totalsRowDxfId="3776"/>
    <tableColumn id="12" xr3:uid="{77B492E0-742E-412E-89C9-4ECDA86A988D}" name="Reimbursement Amount Requested" totalsRowFunction="sum" dataDxfId="3775" totalsRowDxfId="3774" dataCellStyle="Currency" totalsRowCellStyle="Currency"/>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5" xr:uid="{178930C0-B78D-4006-894C-CCCB6CEDDB9F}" name="Table13267516" displayName="Table13267516" ref="A35:G41" totalsRowCount="1" headerRowDxfId="3773" dataDxfId="3772" tableBorderDxfId="3771" totalsRowBorderDxfId="3770">
  <autoFilter ref="A35:G40" xr:uid="{178930C0-B78D-4006-894C-CCCB6CEDDB9F}"/>
  <tableColumns count="7">
    <tableColumn id="1" xr3:uid="{C4ACE208-CE02-4B97-878C-2F75398AA116}" name="Activities completed (select from the dropdown list)" totalsRowDxfId="3769"/>
    <tableColumn id="7" xr3:uid="{EDB58FBF-9FD0-46E1-ADD4-EBF97CC9DAB1}" name="Describe the activity. What was done? What was the topic? How does this support your strategy? What was the desired outcome of this activity? Please be as descriptive/detailed as possible." dataDxfId="3768" totalsRowDxfId="3767"/>
    <tableColumn id="3" xr3:uid="{B91E8A73-A0E2-490C-8429-97B48F5DAF5F}" name="# of hours" totalsRowFunction="custom" dataDxfId="3766" totalsRowDxfId="3765">
      <totalsRowFormula>SUM(Table13267516['# of hours])</totalsRowFormula>
    </tableColumn>
    <tableColumn id="9" xr3:uid="{657D9680-0128-4C4C-9A80-9D9C46A29C21}" name="# of people reached" totalsRowFunction="custom" dataDxfId="3764" totalsRowDxfId="3763">
      <totalsRowFormula>SUM(Table13267516['# of people reached])</totalsRowFormula>
    </tableColumn>
    <tableColumn id="10" xr3:uid="{B189F549-B63B-45BC-B4C6-F3FEB28A6F44}" name="# of participants" totalsRowFunction="custom" dataDxfId="3762" totalsRowDxfId="3761">
      <totalsRowFormula>SUM(Table13267516['# of participants])</totalsRowFormula>
    </tableColumn>
    <tableColumn id="11" xr3:uid="{66DBFF12-F6E5-4291-BCE4-1103C83D71B6}" name="# of items handed out" totalsRowFunction="sum" dataDxfId="3760" totalsRowDxfId="3759"/>
    <tableColumn id="12" xr3:uid="{181266AF-54BE-4B1A-821C-211D818F063D}" name="Reimbursement Amount Requested" totalsRowFunction="sum" dataDxfId="3758" totalsRowDxfId="3757" dataCellStyle="Currency" totalsRowCellStyle="Currency"/>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6" xr:uid="{157FCA53-A6D6-424B-9457-9F954877AC44}" name="Table132678517" displayName="Table132678517" ref="A47:G53" totalsRowCount="1" headerRowDxfId="3756" dataDxfId="3755" tableBorderDxfId="3754" totalsRowBorderDxfId="3753">
  <autoFilter ref="A47:G52" xr:uid="{157FCA53-A6D6-424B-9457-9F954877AC44}"/>
  <tableColumns count="7">
    <tableColumn id="1" xr3:uid="{E7B78C78-B1A5-443F-8C11-AE55E7C52072}" name="Activities completed (select from the dropdown list)" totalsRowDxfId="3752"/>
    <tableColumn id="7" xr3:uid="{77A59A02-D4DC-4D76-922C-A36499D28A60}" name="Describe the activity. What was done? What was the topic? How does this support your strategy? What was the desired outcome of this activity? Please be as descriptive/detailed as possible." dataDxfId="3751" totalsRowDxfId="3750"/>
    <tableColumn id="3" xr3:uid="{57B1CE77-4ECF-44FC-8FEF-C1FCBEF730AA}" name="# of hours" totalsRowFunction="custom" dataDxfId="3749" totalsRowDxfId="3748">
      <totalsRowFormula>SUM(Table132678517['# of hours])</totalsRowFormula>
    </tableColumn>
    <tableColumn id="9" xr3:uid="{15C990B6-4B67-4A0A-9A2D-7C975C926192}" name="# of people reached" totalsRowFunction="custom" dataDxfId="3747" totalsRowDxfId="3746">
      <totalsRowFormula>SUM(Table132678517['# of people reached])</totalsRowFormula>
    </tableColumn>
    <tableColumn id="10" xr3:uid="{C8E4A48A-F678-4D86-B4A3-844AB8C58BD6}" name="# of participants" totalsRowFunction="custom" dataDxfId="3745" totalsRowDxfId="3744">
      <totalsRowFormula>SUM(Table132678517['# of participants])</totalsRowFormula>
    </tableColumn>
    <tableColumn id="11" xr3:uid="{1D5AC006-22CB-4C99-A1F8-F0B0491134D0}" name="# of items handed out" totalsRowFunction="sum" dataDxfId="3743" totalsRowDxfId="3742"/>
    <tableColumn id="12" xr3:uid="{5102AFA7-503A-488B-B5F7-4A8D95530D04}" name="Reimbursement Amount Requested" totalsRowFunction="sum" dataDxfId="3741" totalsRowDxfId="3740" dataCellStyle="Currency"/>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7" xr:uid="{FEF18C26-5C97-4246-9847-1E9652DD5FDC}" name="Table1326789518" displayName="Table1326789518" ref="A59:G62" totalsRowCount="1" headerRowDxfId="3739" dataDxfId="3738" tableBorderDxfId="3737" totalsRowBorderDxfId="3736">
  <autoFilter ref="A59:G61" xr:uid="{FEF18C26-5C97-4246-9847-1E9652DD5FDC}"/>
  <tableColumns count="7">
    <tableColumn id="1" xr3:uid="{54F46E60-9CB8-4E19-9D85-D30F9CDA548E}" name="Activities completed (select from the dropdown list)" totalsRowDxfId="3735"/>
    <tableColumn id="7" xr3:uid="{C86D1751-C023-4A75-A647-EBE1A8A03D91}" name="Describe the activity. What was done? What was the topic? How does this support your strategy? What was the desired outcome of this activity? Please be as descriptive/detailed as possible." dataDxfId="3734" totalsRowDxfId="3733"/>
    <tableColumn id="3" xr3:uid="{05DCBAFF-F02C-4CC6-854F-40CD8E6AFAF2}" name="# of hours" totalsRowFunction="custom" dataDxfId="3732" totalsRowDxfId="3731">
      <totalsRowFormula>SUM(Table1326789518['# of hours])</totalsRowFormula>
    </tableColumn>
    <tableColumn id="9" xr3:uid="{300CB8E2-EBE4-4A8C-AABA-B76B36CF6B6F}" name="# of people reached" totalsRowFunction="custom" dataDxfId="3730" totalsRowDxfId="3729">
      <totalsRowFormula>SUM(Table1326789518['# of people reached])</totalsRowFormula>
    </tableColumn>
    <tableColumn id="10" xr3:uid="{46EE683D-F8E0-40F9-B4AD-A6192D7DCBB0}" name="# of participants" totalsRowFunction="custom" dataDxfId="3728" totalsRowDxfId="3727">
      <totalsRowFormula>SUM(Table1326789518['# of participants])</totalsRowFormula>
    </tableColumn>
    <tableColumn id="11" xr3:uid="{9B277B17-7C38-4F7C-A287-A06F12973FD4}" name="# of items handed out" totalsRowFunction="sum" dataDxfId="3726" totalsRowDxfId="3725"/>
    <tableColumn id="12" xr3:uid="{1273187E-6CFB-4594-9E9B-02BBFE248B12}" name="Reimbursement Amount Requested" totalsRowFunction="sum" dataDxfId="3724" totalsRowDxfId="3723" dataCellStyle="Currency"/>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8" xr:uid="{DE760B5C-F970-43A3-8B81-A279592F5A1A}" name="Table13267810519" displayName="Table13267810519" ref="A68:G74" totalsRowCount="1" headerRowDxfId="3722" dataDxfId="3721" tableBorderDxfId="3720" totalsRowBorderDxfId="3719">
  <autoFilter ref="A68:G73" xr:uid="{DE760B5C-F970-43A3-8B81-A279592F5A1A}"/>
  <tableColumns count="7">
    <tableColumn id="1" xr3:uid="{83B44BC4-D055-4793-9C57-C84B898DB8B6}" name="Activities completed (select from the dropdown list)" totalsRowDxfId="3718"/>
    <tableColumn id="7" xr3:uid="{9145C493-39B9-418E-8119-348D1838CE28}" name="Describe the activity. What was done? What was the topic? How does this support your strategy? What was the desired outcome of this activity? Please be as descriptive/detailed as possible." dataDxfId="3717" totalsRowDxfId="3716"/>
    <tableColumn id="3" xr3:uid="{FCF5E647-7E24-4BF9-82DD-BE0D845AB35C}" name="# of hours" totalsRowFunction="custom" dataDxfId="3715" totalsRowDxfId="3714">
      <totalsRowFormula>SUM(Table13267810519['# of hours])</totalsRowFormula>
    </tableColumn>
    <tableColumn id="9" xr3:uid="{830B2EB4-3268-4632-82CF-7EA02CB152E6}" name="# of people reached" totalsRowFunction="custom" dataDxfId="3713" totalsRowDxfId="3712">
      <totalsRowFormula>SUM(Table13267810519['# of people reached])</totalsRowFormula>
    </tableColumn>
    <tableColumn id="10" xr3:uid="{C30ED186-6B22-4DF4-80B8-A86CCE4991BE}" name="# of participants" totalsRowFunction="custom" dataDxfId="3711" totalsRowDxfId="3710">
      <totalsRowFormula>SUM(Table13267810519['# of participants])</totalsRowFormula>
    </tableColumn>
    <tableColumn id="11" xr3:uid="{37913487-2F9C-4459-BE09-36683E63EC0B}" name="# of items handed out" totalsRowFunction="sum" dataDxfId="3709" totalsRowDxfId="3708"/>
    <tableColumn id="12" xr3:uid="{E8C8B412-E7BB-4218-A1CE-AA4895FAEB23}" name="Reimbursement Amount Requested" totalsRowFunction="sum" dataDxfId="3707" totalsRowDxfId="3706" dataCellStyle="Currency" totalsRowCellStyle="Currency"/>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9" xr:uid="{5DDBE3EB-399D-4E13-BD07-0EE6FA7CD341}" name="Table1326781011520" displayName="Table1326781011520" ref="A80:G86" totalsRowCount="1" headerRowDxfId="3705" dataDxfId="3704" tableBorderDxfId="3703" totalsRowBorderDxfId="3702">
  <autoFilter ref="A80:G85" xr:uid="{5DDBE3EB-399D-4E13-BD07-0EE6FA7CD341}"/>
  <tableColumns count="7">
    <tableColumn id="1" xr3:uid="{9DF4AB53-874A-4E09-ABBF-44DBBF15CA04}" name="Activities completed (select from the dropdown list)" totalsRowDxfId="3701"/>
    <tableColumn id="7" xr3:uid="{60DE8FB3-BAA2-4443-8E01-5FEA38291C1B}" name="Describe the activity. What was done? What was the topic? How does this support your strategy? What was the desired outcome of this activity? Please be as descriptive/detailed as possible." dataDxfId="3700" totalsRowDxfId="3699"/>
    <tableColumn id="3" xr3:uid="{3639C112-D702-4A84-AEEE-3A21D1911BF6}" name="# of hours" totalsRowFunction="custom" dataDxfId="3698" totalsRowDxfId="3697">
      <totalsRowFormula>SUM(Table1326781011520['# of hours])</totalsRowFormula>
    </tableColumn>
    <tableColumn id="9" xr3:uid="{2E1A770B-231C-46DE-990B-20D2F45D5586}" name="# of people reached" totalsRowFunction="custom" dataDxfId="3696" totalsRowDxfId="3695">
      <totalsRowFormula>SUM(Table1326781011520['# of people reached])</totalsRowFormula>
    </tableColumn>
    <tableColumn id="10" xr3:uid="{A3D8F723-6BCE-4CD6-9C2F-60CEB7A60645}" name="# of participants" totalsRowFunction="custom" dataDxfId="3694" totalsRowDxfId="3693">
      <totalsRowFormula>SUM(Table1326781011520['# of participants])</totalsRowFormula>
    </tableColumn>
    <tableColumn id="11" xr3:uid="{9271CC9E-90FE-4CF4-9A93-32147E1526AB}" name="# of items handed out" totalsRowFunction="sum" dataDxfId="3692" totalsRowDxfId="3691"/>
    <tableColumn id="12" xr3:uid="{66C040CE-501B-4B2C-8D9D-AB1D33E49C69}" name="Reimbursement Amount Requested" totalsRowFunction="sum" dataDxfId="3690" totalsRowDxfId="3689" dataCellStyle="Currency" totalsRowCellStyle="Currency"/>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0" xr:uid="{019C7889-78A4-4F55-9C36-8E451A449ECB}" name="Table132678101112521" displayName="Table132678101112521" ref="A92:G98" totalsRowCount="1" headerRowDxfId="3688" dataDxfId="3687" tableBorderDxfId="3686" totalsRowBorderDxfId="3685">
  <autoFilter ref="A92:G97" xr:uid="{019C7889-78A4-4F55-9C36-8E451A449ECB}"/>
  <tableColumns count="7">
    <tableColumn id="1" xr3:uid="{8295F328-7E81-41FE-991A-9E86732ED1D7}" name="Activities completed (select from the dropdown list)" totalsRowDxfId="3684"/>
    <tableColumn id="7" xr3:uid="{469A877B-D221-4711-8BB2-FF2CA33B5711}" name="Describe the activity. What was done? What was the topic? How does this support your strategy? What was the desired outcome of this activity? Please be as descriptive/detailed as possible." dataDxfId="3683" totalsRowDxfId="3682"/>
    <tableColumn id="3" xr3:uid="{2033A925-7CEB-4E8F-9ADB-88BE2EF1FF86}" name="# of hours" totalsRowFunction="custom" dataDxfId="3681" totalsRowDxfId="3680">
      <totalsRowFormula>SUM(Table132678101112521['# of hours])</totalsRowFormula>
    </tableColumn>
    <tableColumn id="9" xr3:uid="{F0D6425B-652C-410A-AC42-26C68876192B}" name="# of people reached" totalsRowFunction="custom" dataDxfId="3679" totalsRowDxfId="3678">
      <totalsRowFormula>SUM(Table132678101112521['# of people reached])</totalsRowFormula>
    </tableColumn>
    <tableColumn id="10" xr3:uid="{8BE8051E-9798-4836-8028-95D6886964E6}" name="# of participants" totalsRowFunction="custom" dataDxfId="3677" totalsRowDxfId="3676">
      <totalsRowFormula>SUM(Table132678101112521['# of participants])</totalsRowFormula>
    </tableColumn>
    <tableColumn id="11" xr3:uid="{32B0DA4C-CF2F-4CAE-B719-A8EE848B3939}" name="# of items handed out" totalsRowFunction="sum" dataDxfId="3675" totalsRowDxfId="3674"/>
    <tableColumn id="12" xr3:uid="{9D3AEA0D-4545-450D-8772-FC53BDED9F4B}" name="Reimbursement Amount Requested" totalsRowFunction="sum" dataDxfId="3673" totalsRowDxfId="3672" dataCellStyle="Currency"/>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1" xr:uid="{822C5F40-85AF-4F09-9155-A14D67BF9247}" name="Table132522" displayName="Table132522" ref="A6:G12" totalsRowCount="1" headerRowDxfId="3671" dataDxfId="3670" tableBorderDxfId="3669" totalsRowBorderDxfId="3668">
  <autoFilter ref="A6:G11" xr:uid="{822C5F40-85AF-4F09-9155-A14D67BF9247}"/>
  <tableColumns count="7">
    <tableColumn id="1" xr3:uid="{687121EA-C588-4435-95F1-455AA66ECE55}" name="Activities completed (select from the dropdown list)" totalsRowDxfId="3667"/>
    <tableColumn id="7" xr3:uid="{33A91460-FB97-4575-8522-05395CCB58AF}" name="Describe the activity. What was done? What was the topic? How does this support your strategy? What was the desired outcome of this activity? Please be as descriptive/detailed as possible." dataDxfId="3666" totalsRowDxfId="3665"/>
    <tableColumn id="3" xr3:uid="{9B219A83-47E9-4EFF-8B60-DE35BE758CCE}" name="# of hours" totalsRowFunction="custom" dataDxfId="3664" totalsRowDxfId="3663">
      <totalsRowFormula>SUM(Table132522['# of hours])</totalsRowFormula>
    </tableColumn>
    <tableColumn id="9" xr3:uid="{ABA9051A-266A-4473-90B9-B47AE9DF5B21}" name="# of people reached" totalsRowFunction="custom" dataDxfId="3662" totalsRowDxfId="3661">
      <totalsRowFormula>SUM(Table132522['# of people reached])</totalsRowFormula>
    </tableColumn>
    <tableColumn id="10" xr3:uid="{4C8510F1-1DCE-414E-A4C0-A2751315ECE1}" name="# of participants" totalsRowFunction="custom" dataDxfId="3660" totalsRowDxfId="3659">
      <totalsRowFormula>SUM(Table132522['# of participants])</totalsRowFormula>
    </tableColumn>
    <tableColumn id="11" xr3:uid="{5A3EB11C-6990-49DC-83F7-1C06C1B1CC8F}" name="# of items handed out" totalsRowFunction="sum" dataDxfId="3658" totalsRowDxfId="3657"/>
    <tableColumn id="12" xr3:uid="{3313288E-6803-4781-A079-D7D7302833D5}" name="Reimbursement Amount Requested" totalsRowFunction="sum" dataDxfId="3656" totalsRowDxfId="3655" dataCellStyle="Currency"/>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2" xr:uid="{AE35E80F-8FAA-4923-8DA0-3864F927AF49}" name="Table1326523" displayName="Table1326523" ref="A18:G29" totalsRowCount="1" headerRowDxfId="3654" dataDxfId="3653" tableBorderDxfId="3652" totalsRowBorderDxfId="3651">
  <autoFilter ref="A18:G28" xr:uid="{AE35E80F-8FAA-4923-8DA0-3864F927AF49}"/>
  <tableColumns count="7">
    <tableColumn id="1" xr3:uid="{FA74224A-C183-4F53-BB3C-01B41AA0E10A}" name="Activities completed (select from the dropdown list)" totalsRowDxfId="3650"/>
    <tableColumn id="7" xr3:uid="{02B300A3-753E-4F47-B48E-D9B1417A9EA4}" name="Describe the activity. What was done? What was the topic? How does this support your strategy? What was the desired outcome of this activity? Please be as descriptive/detailed as possible." dataDxfId="3649" totalsRowDxfId="3648"/>
    <tableColumn id="3" xr3:uid="{84FDD2FB-29E4-49C6-9848-58E1C9C6D109}" name="# of hours" totalsRowFunction="custom" dataDxfId="3647" totalsRowDxfId="3646">
      <totalsRowFormula>SUM(Table1326523['# of hours])</totalsRowFormula>
    </tableColumn>
    <tableColumn id="9" xr3:uid="{9DE45545-73A8-4B90-9808-64F0EF37E7E1}" name="# of people reached" totalsRowFunction="custom" dataDxfId="3645" totalsRowDxfId="3644">
      <totalsRowFormula>SUM(Table1326523['# of people reached])</totalsRowFormula>
    </tableColumn>
    <tableColumn id="10" xr3:uid="{1ECB35E9-6FB2-479C-8E44-695E305EBB81}" name="# of participants" totalsRowFunction="custom" dataDxfId="3643" totalsRowDxfId="3642">
      <totalsRowFormula>SUM(Table1326523['# of participants])</totalsRowFormula>
    </tableColumn>
    <tableColumn id="11" xr3:uid="{33BE7C1A-E277-4147-AB5A-F824533E53FE}" name="# of items handed out" totalsRowFunction="sum" dataDxfId="3641" totalsRowDxfId="3640"/>
    <tableColumn id="12" xr3:uid="{3A419A27-F284-4FD4-9D41-9B6EE3FE6909}" name="Reimbursement Amount Requested" totalsRowFunction="sum" dataDxfId="3639" totalsRowDxfId="3638" dataCellStyle="Currency" totalsRowCellStyle="Currency"/>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3" xr:uid="{194055D4-E196-47C4-BA4E-D760C28969A9}" name="Table13267524" displayName="Table13267524" ref="A35:G41" totalsRowCount="1" headerRowDxfId="3637" dataDxfId="3636" tableBorderDxfId="3635" totalsRowBorderDxfId="3634">
  <autoFilter ref="A35:G40" xr:uid="{194055D4-E196-47C4-BA4E-D760C28969A9}"/>
  <tableColumns count="7">
    <tableColumn id="1" xr3:uid="{0AFE835C-8F05-4531-9D99-6719F58FAFE4}" name="Activities completed (select from the dropdown list)" totalsRowDxfId="3633"/>
    <tableColumn id="7" xr3:uid="{40B47B72-E181-4ECC-BC01-20D494D68DF1}" name="Describe the activity. What was done? What was the topic? How does this support your strategy? What was the desired outcome of this activity? Please be as descriptive/detailed as possible." dataDxfId="3632" totalsRowDxfId="3631"/>
    <tableColumn id="3" xr3:uid="{3624737E-8190-4A50-B93F-DFA82F989AE7}" name="# of hours" totalsRowFunction="custom" dataDxfId="3630" totalsRowDxfId="3629">
      <totalsRowFormula>SUM(Table13267524['# of hours])</totalsRowFormula>
    </tableColumn>
    <tableColumn id="9" xr3:uid="{5D7FD0B6-2C41-4175-AE03-CBA15AE225FE}" name="# of people reached" totalsRowFunction="custom" dataDxfId="3628" totalsRowDxfId="3627">
      <totalsRowFormula>SUM(Table13267524['# of people reached])</totalsRowFormula>
    </tableColumn>
    <tableColumn id="10" xr3:uid="{13FB75CB-064A-4ACE-8229-A5ABAFE99AAD}" name="# of participants" totalsRowFunction="custom" dataDxfId="3626" totalsRowDxfId="3625">
      <totalsRowFormula>SUM(Table13267524['# of participants])</totalsRowFormula>
    </tableColumn>
    <tableColumn id="11" xr3:uid="{591D21AE-68C7-4B02-A155-EFFAC087806E}" name="# of items handed out" totalsRowFunction="sum" dataDxfId="3624" totalsRowDxfId="3623"/>
    <tableColumn id="12" xr3:uid="{CBC86453-A7F6-4193-A8CE-DD85337D617F}" name="Reimbursement Amount Requested" totalsRowFunction="sum" dataDxfId="3622" totalsRowDxfId="3621" dataCellStyle="Currency" totalsRowCellStyle="Currency"/>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4" xr:uid="{022303D7-7A97-459D-A151-DA9ADF819BF3}" name="Table132678525" displayName="Table132678525" ref="A47:G53" totalsRowCount="1" headerRowDxfId="3620" dataDxfId="3619" tableBorderDxfId="3618" totalsRowBorderDxfId="3617">
  <autoFilter ref="A47:G52" xr:uid="{022303D7-7A97-459D-A151-DA9ADF819BF3}"/>
  <tableColumns count="7">
    <tableColumn id="1" xr3:uid="{1F6F105B-93DB-4504-B054-17BCA7B6A28D}" name="Activities completed (select from the dropdown list)" totalsRowDxfId="3616"/>
    <tableColumn id="7" xr3:uid="{80FCAD0A-5639-4289-BED5-0B3194FE94CB}" name="Describe the activity. What was done? What was the topic? How does this support your strategy? What was the desired outcome of this activity? Please be as descriptive/detailed as possible." dataDxfId="3615" totalsRowDxfId="3614"/>
    <tableColumn id="3" xr3:uid="{31639E54-B6E3-4B48-A8D6-EC2D3CCBC905}" name="# of hours" totalsRowFunction="custom" dataDxfId="3613" totalsRowDxfId="3612">
      <totalsRowFormula>SUM(Table132678525['# of hours])</totalsRowFormula>
    </tableColumn>
    <tableColumn id="9" xr3:uid="{50BB0406-9079-42CD-ABE2-0E51F446FCCF}" name="# of people reached" totalsRowFunction="custom" dataDxfId="3611" totalsRowDxfId="3610">
      <totalsRowFormula>SUM(Table132678525['# of people reached])</totalsRowFormula>
    </tableColumn>
    <tableColumn id="10" xr3:uid="{96EAD09F-2025-4042-A67D-84839CB4FAA9}" name="# of participants" totalsRowFunction="custom" dataDxfId="3609" totalsRowDxfId="3608">
      <totalsRowFormula>SUM(Table132678525['# of participants])</totalsRowFormula>
    </tableColumn>
    <tableColumn id="11" xr3:uid="{F656EF05-0632-4248-8475-43B01CEBFECC}" name="# of items handed out" totalsRowFunction="sum" dataDxfId="3607" totalsRowDxfId="3606"/>
    <tableColumn id="12" xr3:uid="{76AFD58A-F90F-42C0-A2AC-8A6840D412FA}" name="Reimbursement Amount Requested" totalsRowFunction="sum" dataDxfId="3605" totalsRowDxfId="3604" dataCellStyle="Currency"/>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5" xr:uid="{9DFE3D7D-BB95-4E70-B6B0-309F119D701F}" name="Table1326789526" displayName="Table1326789526" ref="A59:G62" totalsRowCount="1" headerRowDxfId="3603" dataDxfId="3602" tableBorderDxfId="3601" totalsRowBorderDxfId="3600">
  <autoFilter ref="A59:G61" xr:uid="{9DFE3D7D-BB95-4E70-B6B0-309F119D701F}"/>
  <tableColumns count="7">
    <tableColumn id="1" xr3:uid="{E65EB793-E736-4B8A-A6BE-9B924896302F}" name="Activities completed (select from the dropdown list)" totalsRowDxfId="3599"/>
    <tableColumn id="7" xr3:uid="{C41DD0A3-8683-4B68-B3D5-D96813F5D5EA}" name="Describe the activity. What was done? What was the topic? How does this support your strategy? What was the desired outcome of this activity? Please be as descriptive/detailed as possible." dataDxfId="3598" totalsRowDxfId="3597"/>
    <tableColumn id="3" xr3:uid="{EBCA2AC6-22A8-470D-9A47-2CBA9F21F48B}" name="# of hours" totalsRowFunction="custom" dataDxfId="3596" totalsRowDxfId="3595">
      <totalsRowFormula>SUM(Table1326789526['# of hours])</totalsRowFormula>
    </tableColumn>
    <tableColumn id="9" xr3:uid="{CD8E2D18-0308-44A8-A0EB-38895894345D}" name="# of people reached" totalsRowFunction="custom" dataDxfId="3594" totalsRowDxfId="3593">
      <totalsRowFormula>SUM(Table1326789526['# of people reached])</totalsRowFormula>
    </tableColumn>
    <tableColumn id="10" xr3:uid="{828C2D15-1B16-4F76-ABCF-52642618D4CC}" name="# of participants" totalsRowFunction="custom" dataDxfId="3592" totalsRowDxfId="3591">
      <totalsRowFormula>SUM(Table1326789526['# of participants])</totalsRowFormula>
    </tableColumn>
    <tableColumn id="11" xr3:uid="{2C871EA9-33AD-4F48-916E-480C45153675}" name="# of items handed out" totalsRowFunction="sum" dataDxfId="3590" totalsRowDxfId="3589"/>
    <tableColumn id="12" xr3:uid="{B147DBEE-D53B-446E-A583-4ADC7A8BA1F8}" name="Reimbursement Amount Requested" totalsRowFunction="sum" dataDxfId="3588" totalsRowDxfId="3587" dataCellStyle="Currency"/>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6" xr:uid="{D218C255-7A1E-430F-B5B3-793C183B7348}" name="Table13267810527" displayName="Table13267810527" ref="A68:G74" totalsRowCount="1" headerRowDxfId="3586" dataDxfId="3585" tableBorderDxfId="3584" totalsRowBorderDxfId="3583">
  <autoFilter ref="A68:G73" xr:uid="{D218C255-7A1E-430F-B5B3-793C183B7348}"/>
  <tableColumns count="7">
    <tableColumn id="1" xr3:uid="{1E74560E-0650-412A-9EA8-19C9C3B6EE97}" name="Activities completed (select from the dropdown list)" totalsRowDxfId="3582"/>
    <tableColumn id="7" xr3:uid="{2CEAB8E9-9609-43BD-9E3E-EBD55AC607E3}" name="Describe the activity. What was done? What was the topic? How does this support your strategy? What was the desired outcome of this activity? Please be as descriptive/detailed as possible." dataDxfId="3581" totalsRowDxfId="3580"/>
    <tableColumn id="3" xr3:uid="{E8EE8D44-8FFF-4654-A2CC-CAE76ABC4896}" name="# of hours" totalsRowFunction="custom" dataDxfId="3579" totalsRowDxfId="3578">
      <totalsRowFormula>SUM(Table13267810527['# of hours])</totalsRowFormula>
    </tableColumn>
    <tableColumn id="9" xr3:uid="{898959C4-D988-4DD2-95AB-D3C9863A2AB4}" name="# of people reached" totalsRowFunction="custom" dataDxfId="3577" totalsRowDxfId="3576">
      <totalsRowFormula>SUM(Table13267810527['# of people reached])</totalsRowFormula>
    </tableColumn>
    <tableColumn id="10" xr3:uid="{2420EF72-8391-4EF2-B5D7-B66A60982015}" name="# of participants" totalsRowFunction="custom" dataDxfId="3575" totalsRowDxfId="3574">
      <totalsRowFormula>SUM(Table13267810527['# of participants])</totalsRowFormula>
    </tableColumn>
    <tableColumn id="11" xr3:uid="{009D0971-53D1-40E0-864B-5036AF2C61EF}" name="# of items handed out" totalsRowFunction="sum" dataDxfId="3573" totalsRowDxfId="3572"/>
    <tableColumn id="12" xr3:uid="{33922B31-6161-4972-83D2-62C8DADB4938}" name="Reimbursement Amount Requested" totalsRowFunction="sum" dataDxfId="3571" totalsRowDxfId="3570" dataCellStyle="Currency" totalsRowCellStyle="Currency"/>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7" xr:uid="{320E1692-66E7-4E88-BE70-069B655A7A0E}" name="Table1326781011528" displayName="Table1326781011528" ref="A80:G86" totalsRowCount="1" headerRowDxfId="3569" dataDxfId="3568" tableBorderDxfId="3567" totalsRowBorderDxfId="3566">
  <autoFilter ref="A80:G85" xr:uid="{320E1692-66E7-4E88-BE70-069B655A7A0E}"/>
  <tableColumns count="7">
    <tableColumn id="1" xr3:uid="{0A679009-60A8-43A7-A5A9-EF0B877E10BE}" name="Activities completed (select from the dropdown list)" totalsRowDxfId="3565"/>
    <tableColumn id="7" xr3:uid="{2C55A3A9-9D61-4595-A40D-B4B2266609BE}" name="Describe the activity. What was done? What was the topic? How does this support your strategy? What was the desired outcome of this activity? Please be as descriptive/detailed as possible." dataDxfId="3564" totalsRowDxfId="3563"/>
    <tableColumn id="3" xr3:uid="{021337C2-715F-4088-B741-45CB71915752}" name="# of hours" totalsRowFunction="custom" dataDxfId="3562" totalsRowDxfId="3561">
      <totalsRowFormula>SUM(Table1326781011528['# of hours])</totalsRowFormula>
    </tableColumn>
    <tableColumn id="9" xr3:uid="{ECF3EBA3-81EB-4E8A-BE53-28D06DDDAD16}" name="# of people reached" totalsRowFunction="custom" dataDxfId="3560" totalsRowDxfId="3559">
      <totalsRowFormula>SUM(Table1326781011528['# of people reached])</totalsRowFormula>
    </tableColumn>
    <tableColumn id="10" xr3:uid="{491FE2DF-6EFA-4E7E-B900-13C02A19CF75}" name="# of participants" totalsRowFunction="custom" dataDxfId="3558" totalsRowDxfId="3557">
      <totalsRowFormula>SUM(Table1326781011528['# of participants])</totalsRowFormula>
    </tableColumn>
    <tableColumn id="11" xr3:uid="{EDE2C219-75AD-4F54-B930-E08218A36D48}" name="# of items handed out" totalsRowFunction="sum" dataDxfId="3556" totalsRowDxfId="3555"/>
    <tableColumn id="12" xr3:uid="{D976EBA2-E05B-4E0F-81A7-FF7C0899C305}" name="Reimbursement Amount Requested" totalsRowFunction="sum" dataDxfId="3554" totalsRowDxfId="3553" dataCellStyle="Currency" totalsRowCellStyle="Currency"/>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8" xr:uid="{2104C087-66A0-4ABD-BFE7-67EC0C19F204}" name="Table132678101112529" displayName="Table132678101112529" ref="A92:G98" totalsRowCount="1" headerRowDxfId="3552" dataDxfId="3551" tableBorderDxfId="3550" totalsRowBorderDxfId="3549">
  <autoFilter ref="A92:G97" xr:uid="{2104C087-66A0-4ABD-BFE7-67EC0C19F204}"/>
  <tableColumns count="7">
    <tableColumn id="1" xr3:uid="{AC06057B-9892-4889-B4C9-00585F91424F}" name="Activities completed (select from the dropdown list)" totalsRowDxfId="3548"/>
    <tableColumn id="7" xr3:uid="{D90D19DE-96EB-4055-A9D9-92556BF3E9B0}" name="Describe the activity. What was done? What was the topic? How does this support your strategy? What was the desired outcome of this activity? Please be as descriptive/detailed as possible." dataDxfId="3547" totalsRowDxfId="3546"/>
    <tableColumn id="3" xr3:uid="{A4FFAE73-24E5-4696-BD18-DA362021614F}" name="# of hours" totalsRowFunction="custom" dataDxfId="3545" totalsRowDxfId="3544">
      <totalsRowFormula>SUM(Table132678101112529['# of hours])</totalsRowFormula>
    </tableColumn>
    <tableColumn id="9" xr3:uid="{F1D1828D-75A3-4F39-9BC1-D17C4B0CF378}" name="# of people reached" totalsRowFunction="custom" dataDxfId="3543" totalsRowDxfId="3542">
      <totalsRowFormula>SUM(Table132678101112529['# of people reached])</totalsRowFormula>
    </tableColumn>
    <tableColumn id="10" xr3:uid="{38985C2C-9133-4418-BE2D-226933B90E83}" name="# of participants" totalsRowFunction="custom" dataDxfId="3541" totalsRowDxfId="3540">
      <totalsRowFormula>SUM(Table132678101112529['# of participants])</totalsRowFormula>
    </tableColumn>
    <tableColumn id="11" xr3:uid="{B3AF37A6-DEC8-44AB-BFD6-2C79DAE8D2ED}" name="# of items handed out" totalsRowFunction="sum" dataDxfId="3539" totalsRowDxfId="3538"/>
    <tableColumn id="12" xr3:uid="{F42B13CA-D629-4274-9384-A40953B8C880}" name="Reimbursement Amount Requested" totalsRowFunction="sum" dataDxfId="3537" totalsRowDxfId="3536" dataCellStyle="Currency"/>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9" xr:uid="{7F6C8B8A-BE12-4012-B5B2-ECB290C48A66}" name="Table132530" displayName="Table132530" ref="A6:G12" totalsRowCount="1" headerRowDxfId="3535" dataDxfId="3534" tableBorderDxfId="3533" totalsRowBorderDxfId="3532">
  <autoFilter ref="A6:G11" xr:uid="{7F6C8B8A-BE12-4012-B5B2-ECB290C48A66}"/>
  <tableColumns count="7">
    <tableColumn id="1" xr3:uid="{4C8CF0E2-7763-45C8-AE25-89BAE90BB595}" name="Activities completed (select from the dropdown list)" totalsRowDxfId="3531"/>
    <tableColumn id="7" xr3:uid="{483BD9EA-EDC2-4EBD-AB97-3CB1F1A9F9A3}" name="Describe the activity. What was done? What was the topic? How does this support your strategy? What was the desired outcome of this activity? Please be as descriptive/detailed as possible." dataDxfId="3530" totalsRowDxfId="3529"/>
    <tableColumn id="3" xr3:uid="{C53DD19B-6C87-46F7-B2EC-0966DE4D61A8}" name="# of hours" totalsRowFunction="custom" dataDxfId="3528" totalsRowDxfId="3527">
      <totalsRowFormula>SUM(Table132530['# of hours])</totalsRowFormula>
    </tableColumn>
    <tableColumn id="9" xr3:uid="{492E9B02-2F5E-48E7-A7BF-2322058585EE}" name="# of people reached" totalsRowFunction="custom" dataDxfId="3526" totalsRowDxfId="3525">
      <totalsRowFormula>SUM(Table132530['# of people reached])</totalsRowFormula>
    </tableColumn>
    <tableColumn id="10" xr3:uid="{518643C6-53A2-4C01-B9EF-D18CB2A9D61B}" name="# of participants" totalsRowFunction="custom" dataDxfId="3524" totalsRowDxfId="3523">
      <totalsRowFormula>SUM(Table132530['# of participants])</totalsRowFormula>
    </tableColumn>
    <tableColumn id="11" xr3:uid="{EBE0DE0F-C241-4166-8866-DB6C09B5DD15}" name="# of items handed out" totalsRowFunction="sum" dataDxfId="3522" totalsRowDxfId="3521"/>
    <tableColumn id="12" xr3:uid="{D207D439-1AFC-4DA1-9BFF-9FB7D52EE6E6}" name="Reimbursement Amount Requested" totalsRowFunction="sum" dataDxfId="3520" totalsRowDxfId="3519" dataCellStyle="Currency"/>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0" xr:uid="{386CF2C7-4B06-4A1A-8FF5-EF04044D97ED}" name="Table1326531" displayName="Table1326531" ref="A18:G29" totalsRowCount="1" headerRowDxfId="3518" dataDxfId="3517" tableBorderDxfId="3516" totalsRowBorderDxfId="3515">
  <autoFilter ref="A18:G28" xr:uid="{386CF2C7-4B06-4A1A-8FF5-EF04044D97ED}"/>
  <tableColumns count="7">
    <tableColumn id="1" xr3:uid="{8874F875-A964-4360-8059-0DE4E2912A17}" name="Activities completed (select from the dropdown list)" totalsRowDxfId="3514"/>
    <tableColumn id="7" xr3:uid="{E770FBE2-F492-4C10-B333-A523E60548DD}" name="Describe the activity. What was done? What was the topic? How does this support your strategy? What was the desired outcome of this activity? Please be as descriptive/detailed as possible." dataDxfId="3513" totalsRowDxfId="3512"/>
    <tableColumn id="3" xr3:uid="{78CB0014-6E8B-482A-AC64-A8218B74731E}" name="# of hours" totalsRowFunction="custom" dataDxfId="3511" totalsRowDxfId="3510">
      <totalsRowFormula>SUM(Table1326531['# of hours])</totalsRowFormula>
    </tableColumn>
    <tableColumn id="9" xr3:uid="{20DD0238-2E4E-4BE0-8462-C111EA6FE41D}" name="# of people reached" totalsRowFunction="custom" dataDxfId="3509" totalsRowDxfId="3508">
      <totalsRowFormula>SUM(Table1326531['# of people reached])</totalsRowFormula>
    </tableColumn>
    <tableColumn id="10" xr3:uid="{ACE03141-E2F7-4262-B7E0-EDD230A507FC}" name="# of participants" totalsRowFunction="custom" dataDxfId="3507" totalsRowDxfId="3506">
      <totalsRowFormula>SUM(Table1326531['# of participants])</totalsRowFormula>
    </tableColumn>
    <tableColumn id="11" xr3:uid="{9CC33586-B018-4CE3-B686-5B61122108DA}" name="# of items handed out" totalsRowFunction="sum" dataDxfId="3505" totalsRowDxfId="3504"/>
    <tableColumn id="12" xr3:uid="{42AC4D1F-AF8B-4148-B528-7DC43713FC16}" name="Reimbursement Amount Requested" totalsRowFunction="sum" dataDxfId="3503" totalsRowDxfId="3502" dataCellStyle="Currency" totalsRowCellStyle="Currency"/>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1" xr:uid="{BD1A4A9C-E05A-4B0B-A252-F306F4B51983}" name="Table13267532" displayName="Table13267532" ref="A35:G41" totalsRowCount="1" headerRowDxfId="3501" dataDxfId="3500" tableBorderDxfId="3499" totalsRowBorderDxfId="3498">
  <autoFilter ref="A35:G40" xr:uid="{BD1A4A9C-E05A-4B0B-A252-F306F4B51983}"/>
  <tableColumns count="7">
    <tableColumn id="1" xr3:uid="{78DD000E-1446-4572-B91E-4DFFDCE371DD}" name="Activities completed (select from the dropdown list)" totalsRowDxfId="3497"/>
    <tableColumn id="7" xr3:uid="{04A7CEC1-EFA9-42FA-B964-E9CCA8857EBE}" name="Describe the activity. What was done? What was the topic? How does this support your strategy? What was the desired outcome of this activity? Please be as descriptive/detailed as possible." dataDxfId="3496" totalsRowDxfId="3495"/>
    <tableColumn id="3" xr3:uid="{BB5E5A42-6F57-40C0-91D8-60E30EAA96B8}" name="# of hours" totalsRowFunction="custom" dataDxfId="3494" totalsRowDxfId="3493">
      <totalsRowFormula>SUM(Table13267532['# of hours])</totalsRowFormula>
    </tableColumn>
    <tableColumn id="9" xr3:uid="{0191F208-A206-4A2D-8C6F-0954235A1389}" name="# of people reached" totalsRowFunction="custom" dataDxfId="3492" totalsRowDxfId="3491">
      <totalsRowFormula>SUM(Table13267532['# of people reached])</totalsRowFormula>
    </tableColumn>
    <tableColumn id="10" xr3:uid="{2525A44A-E8DA-4EBA-A820-4F07D0CA324C}" name="# of participants" totalsRowFunction="custom" dataDxfId="3490" totalsRowDxfId="3489">
      <totalsRowFormula>SUM(Table13267532['# of participants])</totalsRowFormula>
    </tableColumn>
    <tableColumn id="11" xr3:uid="{349DC13B-73B8-4CDA-9008-71E75A657A1C}" name="# of items handed out" totalsRowFunction="sum" dataDxfId="3488" totalsRowDxfId="3487"/>
    <tableColumn id="12" xr3:uid="{C20BD09F-0C78-484D-887A-66D6147E3B03}" name="Reimbursement Amount Requested" totalsRowFunction="sum" dataDxfId="3486" totalsRowDxfId="3485" dataCellStyle="Currency" totalsRowCellStyle="Currency"/>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2" xr:uid="{A8733837-BAFD-4AA7-B8B7-86EE240F300C}" name="Table132678533" displayName="Table132678533" ref="A47:G53" totalsRowCount="1" headerRowDxfId="3484" dataDxfId="3483" tableBorderDxfId="3482" totalsRowBorderDxfId="3481">
  <autoFilter ref="A47:G52" xr:uid="{A8733837-BAFD-4AA7-B8B7-86EE240F300C}"/>
  <tableColumns count="7">
    <tableColumn id="1" xr3:uid="{AE866AA0-6ABD-42BE-AA37-4CB8E0ED56DE}" name="Activities completed (select from the dropdown list)" totalsRowDxfId="3480"/>
    <tableColumn id="7" xr3:uid="{58E33682-B869-4D5A-8308-ACAB6C7C5E6E}" name="Describe the activity. What was done? What was the topic? How does this support your strategy? What was the desired outcome of this activity? Please be as descriptive/detailed as possible." dataDxfId="3479" totalsRowDxfId="3478"/>
    <tableColumn id="3" xr3:uid="{C355CBBD-0723-40F5-A6E1-16FF0ED784D3}" name="# of hours" totalsRowFunction="custom" dataDxfId="3477" totalsRowDxfId="3476">
      <totalsRowFormula>SUM(Table132678533['# of hours])</totalsRowFormula>
    </tableColumn>
    <tableColumn id="9" xr3:uid="{D90F2B45-CECA-4223-9DFF-5F2044CFD440}" name="# of people reached" totalsRowFunction="custom" dataDxfId="3475" totalsRowDxfId="3474">
      <totalsRowFormula>SUM(Table132678533['# of people reached])</totalsRowFormula>
    </tableColumn>
    <tableColumn id="10" xr3:uid="{2E9CC377-1C03-462E-B678-9C7440A6FE84}" name="# of participants" totalsRowFunction="custom" dataDxfId="3473" totalsRowDxfId="3472">
      <totalsRowFormula>SUM(Table132678533['# of participants])</totalsRowFormula>
    </tableColumn>
    <tableColumn id="11" xr3:uid="{71A43222-F408-4FF0-979E-B14B2E2E72F1}" name="# of items handed out" totalsRowFunction="sum" dataDxfId="3471" totalsRowDxfId="3470"/>
    <tableColumn id="12" xr3:uid="{2912B5D6-A267-4DCB-BBE0-CFDF275F6936}" name="Reimbursement Amount Requested" totalsRowFunction="sum" dataDxfId="3469" totalsRowDxfId="3468" dataCellStyle="Currency"/>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3" xr:uid="{554594F3-B14D-4AB5-89B8-6F3EA738CF40}" name="Table1326789534" displayName="Table1326789534" ref="A59:G62" totalsRowCount="1" headerRowDxfId="3467" dataDxfId="3466" tableBorderDxfId="3465" totalsRowBorderDxfId="3464">
  <autoFilter ref="A59:G61" xr:uid="{554594F3-B14D-4AB5-89B8-6F3EA738CF40}"/>
  <tableColumns count="7">
    <tableColumn id="1" xr3:uid="{211EE405-3B32-4EBD-B97F-68583F843683}" name="Activities completed (select from the dropdown list)" totalsRowDxfId="3463"/>
    <tableColumn id="7" xr3:uid="{2CA4C7AB-C956-4135-B3F5-5819C1F1D9EF}" name="Describe the activity. What was done? What was the topic? How does this support your strategy? What was the desired outcome of this activity? Please be as descriptive/detailed as possible." dataDxfId="3462" totalsRowDxfId="3461"/>
    <tableColumn id="3" xr3:uid="{4418398A-057D-4C6F-95F4-207CB35127D7}" name="# of hours" totalsRowFunction="custom" dataDxfId="3460" totalsRowDxfId="3459">
      <totalsRowFormula>SUM(Table1326789534['# of hours])</totalsRowFormula>
    </tableColumn>
    <tableColumn id="9" xr3:uid="{E1EA7EFF-3962-4B61-B7D3-062D6A2DBC96}" name="# of people reached" totalsRowFunction="custom" dataDxfId="3458" totalsRowDxfId="3457">
      <totalsRowFormula>SUM(Table1326789534['# of people reached])</totalsRowFormula>
    </tableColumn>
    <tableColumn id="10" xr3:uid="{FD44CFFE-2662-439C-91AB-01B04568D4EC}" name="# of participants" totalsRowFunction="custom" dataDxfId="3456" totalsRowDxfId="3455">
      <totalsRowFormula>SUM(Table1326789534['# of participants])</totalsRowFormula>
    </tableColumn>
    <tableColumn id="11" xr3:uid="{4942212C-0E3C-44AD-9E0F-1A2BC98F204E}" name="# of items handed out" totalsRowFunction="sum" dataDxfId="3454" totalsRowDxfId="3453"/>
    <tableColumn id="12" xr3:uid="{C59498DB-AA14-4784-AA75-A044D602D1E7}" name="Reimbursement Amount Requested" totalsRowFunction="sum" dataDxfId="3452" totalsRowDxfId="3451" dataCellStyle="Currency"/>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4" xr:uid="{95A8AD08-8C1A-4FEE-9FD4-77DBF7BB9FF4}" name="Table13267810535" displayName="Table13267810535" ref="A68:G74" totalsRowCount="1" headerRowDxfId="3450" dataDxfId="3449" tableBorderDxfId="3448" totalsRowBorderDxfId="3447">
  <autoFilter ref="A68:G73" xr:uid="{95A8AD08-8C1A-4FEE-9FD4-77DBF7BB9FF4}"/>
  <tableColumns count="7">
    <tableColumn id="1" xr3:uid="{9AD99D08-53B5-4F06-B37D-EBE03315ACB6}" name="Activities completed (select from the dropdown list)" totalsRowDxfId="3446"/>
    <tableColumn id="7" xr3:uid="{7D15EE76-E2C9-4154-87A7-46699FD5D227}" name="Describe the activity. What was done? What was the topic? How does this support your strategy? What was the desired outcome of this activity? Please be as descriptive/detailed as possible." dataDxfId="3445" totalsRowDxfId="3444"/>
    <tableColumn id="3" xr3:uid="{9DB2C136-49EC-4646-8AF8-72CB74467E09}" name="# of hours" totalsRowFunction="custom" dataDxfId="3443" totalsRowDxfId="3442">
      <totalsRowFormula>SUM(Table13267810535['# of hours])</totalsRowFormula>
    </tableColumn>
    <tableColumn id="9" xr3:uid="{6E8001E7-854C-4342-9638-DCF33F2487CE}" name="# of people reached" totalsRowFunction="custom" dataDxfId="3441" totalsRowDxfId="3440">
      <totalsRowFormula>SUM(Table13267810535['# of people reached])</totalsRowFormula>
    </tableColumn>
    <tableColumn id="10" xr3:uid="{DED38BB9-2A5E-49ED-AA7B-17C6FF0E5EA3}" name="# of participants" totalsRowFunction="custom" dataDxfId="3439" totalsRowDxfId="3438">
      <totalsRowFormula>SUM(Table13267810535['# of participants])</totalsRowFormula>
    </tableColumn>
    <tableColumn id="11" xr3:uid="{C3F02601-4A93-4F1A-A379-DBBAFA380C9C}" name="# of items handed out" totalsRowFunction="sum" dataDxfId="3437" totalsRowDxfId="3436"/>
    <tableColumn id="12" xr3:uid="{F57FDB71-C47D-446C-9287-222045CF6829}" name="Reimbursement Amount Requested" totalsRowFunction="sum" dataDxfId="3435" totalsRowDxfId="3434" dataCellStyle="Currency" totalsRowCellStyle="Currency"/>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5" xr:uid="{9C6AEC30-CB09-40F0-9FDF-BE354F3BE964}" name="Table1326781011536" displayName="Table1326781011536" ref="A80:G86" totalsRowCount="1" headerRowDxfId="3433" dataDxfId="3432" tableBorderDxfId="3431" totalsRowBorderDxfId="3430">
  <autoFilter ref="A80:G85" xr:uid="{9C6AEC30-CB09-40F0-9FDF-BE354F3BE964}"/>
  <tableColumns count="7">
    <tableColumn id="1" xr3:uid="{9EB7B5E0-4A00-4E8B-BDCE-2C40E7245FB7}" name="Activities completed (select from the dropdown list)" totalsRowDxfId="3429"/>
    <tableColumn id="7" xr3:uid="{884800E3-5D65-4E91-B012-945DDE7E5A29}" name="Describe the activity. What was done? What was the topic? How does this support your strategy? What was the desired outcome of this activity? Please be as descriptive/detailed as possible." dataDxfId="3428" totalsRowDxfId="3427"/>
    <tableColumn id="3" xr3:uid="{F183A6F8-9945-40C2-82DF-25BC6F062BAB}" name="# of hours" totalsRowFunction="custom" dataDxfId="3426" totalsRowDxfId="3425">
      <totalsRowFormula>SUM(Table1326781011536['# of hours])</totalsRowFormula>
    </tableColumn>
    <tableColumn id="9" xr3:uid="{E17CE54E-519E-4B55-BD4F-7FFCDE9C51B0}" name="# of people reached" totalsRowFunction="custom" dataDxfId="3424" totalsRowDxfId="3423">
      <totalsRowFormula>SUM(Table1326781011536['# of people reached])</totalsRowFormula>
    </tableColumn>
    <tableColumn id="10" xr3:uid="{2272CEFA-F630-4549-B7CF-8D17CCB13471}" name="# of participants" totalsRowFunction="custom" dataDxfId="3422" totalsRowDxfId="3421">
      <totalsRowFormula>SUM(Table1326781011536['# of participants])</totalsRowFormula>
    </tableColumn>
    <tableColumn id="11" xr3:uid="{3C00DC71-FAF3-4862-942D-CCFBC5BBD5AB}" name="# of items handed out" totalsRowFunction="sum" dataDxfId="3420" totalsRowDxfId="3419"/>
    <tableColumn id="12" xr3:uid="{46A2733C-04E9-44D7-855B-D1AC929908FC}" name="Reimbursement Amount Requested" totalsRowFunction="sum" dataDxfId="3418" totalsRowDxfId="3417" dataCellStyle="Currency" totalsRowCellStyle="Currency"/>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6" xr:uid="{FAF79961-E909-4F72-9126-F729F7B5A275}" name="Table132678101112537" displayName="Table132678101112537" ref="A92:G98" totalsRowCount="1" headerRowDxfId="3416" dataDxfId="3415" tableBorderDxfId="3414" totalsRowBorderDxfId="3413">
  <autoFilter ref="A92:G97" xr:uid="{FAF79961-E909-4F72-9126-F729F7B5A275}"/>
  <tableColumns count="7">
    <tableColumn id="1" xr3:uid="{8C01B9FB-AE7B-4D39-9DDF-E98E0B396030}" name="Activities completed (select from the dropdown list)" totalsRowDxfId="3412"/>
    <tableColumn id="7" xr3:uid="{EDAAE675-6F31-45B3-8323-8574A856BC1E}" name="Describe the activity. What was done? What was the topic? How does this support your strategy? What was the desired outcome of this activity? Please be as descriptive/detailed as possible." dataDxfId="3411" totalsRowDxfId="3410"/>
    <tableColumn id="3" xr3:uid="{28C222D1-A116-4C44-8C37-C053E0E151A0}" name="# of hours" totalsRowFunction="custom" dataDxfId="3409" totalsRowDxfId="3408">
      <totalsRowFormula>SUM(Table132678101112537['# of hours])</totalsRowFormula>
    </tableColumn>
    <tableColumn id="9" xr3:uid="{3EF8C152-9FBA-4660-AB7B-9EAFCA3E7E19}" name="# of people reached" totalsRowFunction="custom" dataDxfId="3407" totalsRowDxfId="3406">
      <totalsRowFormula>SUM(Table132678101112537['# of people reached])</totalsRowFormula>
    </tableColumn>
    <tableColumn id="10" xr3:uid="{778FA05B-46F2-4580-BE8E-FD03F4621711}" name="# of participants" totalsRowFunction="custom" dataDxfId="3405" totalsRowDxfId="3404">
      <totalsRowFormula>SUM(Table132678101112537['# of participants])</totalsRowFormula>
    </tableColumn>
    <tableColumn id="11" xr3:uid="{AAE3FF5E-F7EF-4B16-8026-6C782F33373E}" name="# of items handed out" totalsRowFunction="sum" dataDxfId="3403" totalsRowDxfId="3402"/>
    <tableColumn id="12" xr3:uid="{C62E3EEB-7D41-44E7-962E-55E717449D12}" name="Reimbursement Amount Requested" totalsRowFunction="sum" dataDxfId="3401" totalsRowDxfId="3400" dataCellStyle="Currency"/>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7" xr:uid="{D3D6CFFD-7DF8-4534-A4B9-7252B9EED883}" name="Table132538" displayName="Table132538" ref="A6:G12" totalsRowCount="1" headerRowDxfId="3399" dataDxfId="3398" tableBorderDxfId="3397" totalsRowBorderDxfId="3396">
  <autoFilter ref="A6:G11" xr:uid="{D3D6CFFD-7DF8-4534-A4B9-7252B9EED883}"/>
  <tableColumns count="7">
    <tableColumn id="1" xr3:uid="{BA77F21B-3AAD-4845-ABBB-3C03D902419C}" name="Activities completed (select from the dropdown list)" totalsRowDxfId="3395"/>
    <tableColumn id="7" xr3:uid="{962B50CA-0FB7-46BA-9B9F-8225C7D2D712}" name="Describe the activity. What was done? What was the topic? How does this support your strategy? What was the desired outcome of this activity? Please be as descriptive/detailed as possible." dataDxfId="3394" totalsRowDxfId="3393"/>
    <tableColumn id="3" xr3:uid="{986A374E-5A94-4500-A762-2082F6FDBDE9}" name="# of hours" totalsRowFunction="custom" dataDxfId="3392" totalsRowDxfId="3391">
      <totalsRowFormula>SUM(Table132538['# of hours])</totalsRowFormula>
    </tableColumn>
    <tableColumn id="9" xr3:uid="{2FBFF95C-C13D-42B6-96B0-2CC932D7B306}" name="# of people reached" totalsRowFunction="custom" dataDxfId="3390" totalsRowDxfId="3389">
      <totalsRowFormula>SUM(Table132538['# of people reached])</totalsRowFormula>
    </tableColumn>
    <tableColumn id="10" xr3:uid="{5660D6AF-A1DA-467D-91A3-E30ADD3A70DA}" name="# of participants" totalsRowFunction="custom" dataDxfId="3388" totalsRowDxfId="3387">
      <totalsRowFormula>SUM(Table132538['# of participants])</totalsRowFormula>
    </tableColumn>
    <tableColumn id="11" xr3:uid="{715CDD91-1A2F-4331-97B5-29665802AC1E}" name="# of items handed out" totalsRowFunction="sum" dataDxfId="3386" totalsRowDxfId="3385"/>
    <tableColumn id="12" xr3:uid="{20E4211A-EA95-48D7-8510-84BEC7FCF10E}" name="Reimbursement Amount Requested" totalsRowFunction="sum" dataDxfId="3384" totalsRowDxfId="3383" dataCellStyle="Currency"/>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8" xr:uid="{30AF17FF-FE59-45A3-9A83-17B3D51D5916}" name="Table1326539" displayName="Table1326539" ref="A18:G29" totalsRowCount="1" headerRowDxfId="3382" dataDxfId="3381" tableBorderDxfId="3380" totalsRowBorderDxfId="3379">
  <autoFilter ref="A18:G28" xr:uid="{30AF17FF-FE59-45A3-9A83-17B3D51D5916}"/>
  <tableColumns count="7">
    <tableColumn id="1" xr3:uid="{E065D27A-8CFA-4996-B6F0-F4EA3F4A2FB0}" name="Activities completed (select from the dropdown list)" totalsRowDxfId="3378"/>
    <tableColumn id="7" xr3:uid="{2E0093B7-BF96-4D9A-BAED-2951FC52B76B}" name="Describe the activity. What was done? What was the topic? How does this support your strategy? What was the desired outcome of this activity? Please be as descriptive/detailed as possible." dataDxfId="3377" totalsRowDxfId="3376"/>
    <tableColumn id="3" xr3:uid="{51214CF8-9817-4598-9F9C-677A6B6ADE86}" name="# of hours" totalsRowFunction="custom" dataDxfId="3375" totalsRowDxfId="3374">
      <totalsRowFormula>SUM(Table1326539['# of hours])</totalsRowFormula>
    </tableColumn>
    <tableColumn id="9" xr3:uid="{1A04FD02-E697-4A2A-8CB1-8C0C9F05BEE4}" name="# of people reached" totalsRowFunction="custom" dataDxfId="3373" totalsRowDxfId="3372">
      <totalsRowFormula>SUM(Table1326539['# of people reached])</totalsRowFormula>
    </tableColumn>
    <tableColumn id="10" xr3:uid="{8508519E-106E-4B07-90A3-F5F0C9EC4FF0}" name="# of participants" totalsRowFunction="custom" dataDxfId="3371" totalsRowDxfId="3370">
      <totalsRowFormula>SUM(Table1326539['# of participants])</totalsRowFormula>
    </tableColumn>
    <tableColumn id="11" xr3:uid="{BB1274BA-1311-4EE4-A420-819F17912C47}" name="# of items handed out" totalsRowFunction="sum" dataDxfId="3369" totalsRowDxfId="3368"/>
    <tableColumn id="12" xr3:uid="{7EDF1F83-30B7-41C7-A01C-48BC3B82AD4A}" name="Reimbursement Amount Requested" totalsRowFunction="sum" dataDxfId="3367" totalsRowDxfId="3366" dataCellStyle="Currency" totalsRowCellStyle="Currency"/>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9" xr:uid="{6E5C1B20-38DB-44DB-97B2-13560D47D711}" name="Table13267540" displayName="Table13267540" ref="A35:G41" totalsRowCount="1" headerRowDxfId="3365" dataDxfId="3364" tableBorderDxfId="3363" totalsRowBorderDxfId="3362">
  <autoFilter ref="A35:G40" xr:uid="{6E5C1B20-38DB-44DB-97B2-13560D47D711}"/>
  <tableColumns count="7">
    <tableColumn id="1" xr3:uid="{8D3F3806-AAFB-4F83-A04B-9AE950F2371F}" name="Activities completed (select from the dropdown list)" totalsRowDxfId="3361"/>
    <tableColumn id="7" xr3:uid="{CE32C793-0220-4F74-A191-75494C3D976D}" name="Describe the activity. What was done? What was the topic? How does this support your strategy? What was the desired outcome of this activity? Please be as descriptive/detailed as possible." dataDxfId="3360" totalsRowDxfId="3359"/>
    <tableColumn id="3" xr3:uid="{8C472487-23C4-4BEE-BE1D-73310BFA1AB3}" name="# of hours" totalsRowFunction="custom" dataDxfId="3358" totalsRowDxfId="3357">
      <totalsRowFormula>SUM(Table13267540['# of hours])</totalsRowFormula>
    </tableColumn>
    <tableColumn id="9" xr3:uid="{8FE47572-051D-4825-8E84-9114E065EFF4}" name="# of people reached" totalsRowFunction="custom" dataDxfId="3356" totalsRowDxfId="3355">
      <totalsRowFormula>SUM(Table13267540['# of people reached])</totalsRowFormula>
    </tableColumn>
    <tableColumn id="10" xr3:uid="{BDDD6F00-5865-408F-AB08-9FF66F1A7AFC}" name="# of participants" totalsRowFunction="custom" dataDxfId="3354" totalsRowDxfId="3353">
      <totalsRowFormula>SUM(Table13267540['# of participants])</totalsRowFormula>
    </tableColumn>
    <tableColumn id="11" xr3:uid="{0B0ABC5D-7542-4F3E-A49F-9E934A91CAAB}" name="# of items handed out" totalsRowFunction="sum" dataDxfId="3352" totalsRowDxfId="3351"/>
    <tableColumn id="12" xr3:uid="{C6CA0658-8DA7-4FA4-B181-964F9D2C3731}" name="Reimbursement Amount Requested" totalsRowFunction="sum" dataDxfId="3350" totalsRowDxfId="3349" dataCellStyle="Currency" totalsRowCellStyle="Currency"/>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0" xr:uid="{51FA1BA5-19DF-40C8-B106-A7DCAB22E0AE}" name="Table132678541" displayName="Table132678541" ref="A47:G53" totalsRowCount="1" headerRowDxfId="3348" dataDxfId="3347" tableBorderDxfId="3346" totalsRowBorderDxfId="3345">
  <autoFilter ref="A47:G52" xr:uid="{51FA1BA5-19DF-40C8-B106-A7DCAB22E0AE}"/>
  <tableColumns count="7">
    <tableColumn id="1" xr3:uid="{529AC370-9066-4B35-AFF5-D30F3501E11E}" name="Activities completed (select from the dropdown list)" totalsRowDxfId="3344"/>
    <tableColumn id="7" xr3:uid="{81EFFA1F-BD32-48D4-8BD8-9BC152F0515E}" name="Describe the activity. What was done? What was the topic? How does this support your strategy? What was the desired outcome of this activity? Please be as descriptive/detailed as possible." dataDxfId="3343" totalsRowDxfId="3342"/>
    <tableColumn id="3" xr3:uid="{90257F17-90E4-4D87-A734-805201B5C2A2}" name="# of hours" totalsRowFunction="custom" dataDxfId="3341" totalsRowDxfId="3340">
      <totalsRowFormula>SUM(Table132678541['# of hours])</totalsRowFormula>
    </tableColumn>
    <tableColumn id="9" xr3:uid="{34D3701F-6ABB-458A-AEEA-8E63F4973B0C}" name="# of people reached" totalsRowFunction="custom" dataDxfId="3339" totalsRowDxfId="3338">
      <totalsRowFormula>SUM(Table132678541['# of people reached])</totalsRowFormula>
    </tableColumn>
    <tableColumn id="10" xr3:uid="{66DC36CD-B643-4BC2-824D-B508685ADD71}" name="# of participants" totalsRowFunction="custom" dataDxfId="3337" totalsRowDxfId="3336">
      <totalsRowFormula>SUM(Table132678541['# of participants])</totalsRowFormula>
    </tableColumn>
    <tableColumn id="11" xr3:uid="{3F07A38C-5144-4788-BA85-9157D0D944FC}" name="# of items handed out" totalsRowFunction="sum" dataDxfId="3335" totalsRowDxfId="3334"/>
    <tableColumn id="12" xr3:uid="{0B7DD277-11B4-4A8A-A4F4-E8E218A4C466}" name="Reimbursement Amount Requested" totalsRowFunction="sum" dataDxfId="3333" totalsRowDxfId="3332" dataCellStyle="Currency"/>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1" xr:uid="{CEE2F02D-34EE-45B4-9E13-03974055777B}" name="Table1326789542" displayName="Table1326789542" ref="A59:G62" totalsRowCount="1" headerRowDxfId="3331" dataDxfId="3330" tableBorderDxfId="3329" totalsRowBorderDxfId="3328">
  <autoFilter ref="A59:G61" xr:uid="{CEE2F02D-34EE-45B4-9E13-03974055777B}"/>
  <tableColumns count="7">
    <tableColumn id="1" xr3:uid="{2C624463-2F01-45B5-A4DC-BBBFB70A5CF4}" name="Activities completed (select from the dropdown list)" totalsRowDxfId="3327"/>
    <tableColumn id="7" xr3:uid="{C1590BAA-4213-4842-A7DF-E63ACBA27E1A}" name="Describe the activity. What was done? What was the topic? How does this support your strategy? What was the desired outcome of this activity? Please be as descriptive/detailed as possible." dataDxfId="3326" totalsRowDxfId="3325"/>
    <tableColumn id="3" xr3:uid="{11CB82D9-3D97-4AC0-9C47-CFAE1CB18163}" name="# of hours" totalsRowFunction="custom" dataDxfId="3324" totalsRowDxfId="3323">
      <totalsRowFormula>SUM(Table1326789542['# of hours])</totalsRowFormula>
    </tableColumn>
    <tableColumn id="9" xr3:uid="{BEED6CCF-0BF5-48BF-A8D1-0EE0E797A786}" name="# of people reached" totalsRowFunction="custom" dataDxfId="3322" totalsRowDxfId="3321">
      <totalsRowFormula>SUM(Table1326789542['# of people reached])</totalsRowFormula>
    </tableColumn>
    <tableColumn id="10" xr3:uid="{1A63CA7F-99DA-4AE7-BD8D-AEB0B8C8083B}" name="# of participants" totalsRowFunction="custom" dataDxfId="3320" totalsRowDxfId="3319">
      <totalsRowFormula>SUM(Table1326789542['# of participants])</totalsRowFormula>
    </tableColumn>
    <tableColumn id="11" xr3:uid="{F3FA26BE-0F96-4EAA-997B-6B60704D6288}" name="# of items handed out" totalsRowFunction="sum" dataDxfId="3318" totalsRowDxfId="3317"/>
    <tableColumn id="12" xr3:uid="{EB8FC785-3CAE-4263-9D01-9E585C2845EC}" name="Reimbursement Amount Requested" totalsRowFunction="sum" dataDxfId="3316" totalsRowDxfId="3315" dataCellStyle="Currency"/>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2" xr:uid="{AC394A74-076D-4347-9BA6-0472D0A84408}" name="Table13267810543" displayName="Table13267810543" ref="A68:G74" totalsRowCount="1" headerRowDxfId="3314" dataDxfId="3313" tableBorderDxfId="3312" totalsRowBorderDxfId="3311">
  <autoFilter ref="A68:G73" xr:uid="{AC394A74-076D-4347-9BA6-0472D0A84408}"/>
  <tableColumns count="7">
    <tableColumn id="1" xr3:uid="{51F1B843-55CA-4ACB-82FC-36D0146F7830}" name="Activities completed (select from the dropdown list)" totalsRowDxfId="3310"/>
    <tableColumn id="7" xr3:uid="{0B954DF3-5E0F-4E93-B3A6-79A7730221E0}" name="Describe the activity. What was done? What was the topic? How does this support your strategy? What was the desired outcome of this activity? Please be as descriptive/detailed as possible." dataDxfId="3309" totalsRowDxfId="3308"/>
    <tableColumn id="3" xr3:uid="{85653C88-A8D2-4931-BD5C-08625BE97398}" name="# of hours" totalsRowFunction="custom" dataDxfId="3307" totalsRowDxfId="3306">
      <totalsRowFormula>SUM(Table13267810543['# of hours])</totalsRowFormula>
    </tableColumn>
    <tableColumn id="9" xr3:uid="{D0BF87D0-D0D6-4A05-BAC4-8995EAF1F7B0}" name="# of people reached" totalsRowFunction="custom" dataDxfId="3305" totalsRowDxfId="3304">
      <totalsRowFormula>SUM(Table13267810543['# of people reached])</totalsRowFormula>
    </tableColumn>
    <tableColumn id="10" xr3:uid="{6ED32349-CE22-491D-B9F2-87E3DAFCECD2}" name="# of participants" totalsRowFunction="custom" dataDxfId="3303" totalsRowDxfId="3302">
      <totalsRowFormula>SUM(Table13267810543['# of participants])</totalsRowFormula>
    </tableColumn>
    <tableColumn id="11" xr3:uid="{732BEDA7-E249-4C92-A9C7-AF392025AEAA}" name="# of items handed out" totalsRowFunction="sum" dataDxfId="3301" totalsRowDxfId="3300"/>
    <tableColumn id="12" xr3:uid="{E7B23216-E579-4B59-B1B3-A1FE6DBBB317}" name="Reimbursement Amount Requested" totalsRowFunction="sum" dataDxfId="3299" totalsRowDxfId="3298" dataCellStyle="Currency" totalsRowCellStyle="Currency"/>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3" xr:uid="{2F5DB7F5-501B-472E-B19E-41D40358EBEA}" name="Table1326781011544" displayName="Table1326781011544" ref="A80:G86" totalsRowCount="1" headerRowDxfId="3297" dataDxfId="3296" tableBorderDxfId="3295" totalsRowBorderDxfId="3294">
  <autoFilter ref="A80:G85" xr:uid="{2F5DB7F5-501B-472E-B19E-41D40358EBEA}"/>
  <tableColumns count="7">
    <tableColumn id="1" xr3:uid="{7D44A6DD-E943-425F-9175-E91315FB16BB}" name="Activities completed (select from the dropdown list)" totalsRowDxfId="3293"/>
    <tableColumn id="7" xr3:uid="{1A774867-1DB8-49DE-965A-F1C2EE9537BA}" name="Describe the activity. What was done? What was the topic? How does this support your strategy? What was the desired outcome of this activity? Please be as descriptive/detailed as possible." dataDxfId="3292" totalsRowDxfId="3291"/>
    <tableColumn id="3" xr3:uid="{DED85D9C-08BF-4A0E-9461-40AB352793D2}" name="# of hours" totalsRowFunction="custom" dataDxfId="3290" totalsRowDxfId="3289">
      <totalsRowFormula>SUM(Table1326781011544['# of hours])</totalsRowFormula>
    </tableColumn>
    <tableColumn id="9" xr3:uid="{1BD9E04F-1976-4E65-83B8-13CA24696227}" name="# of people reached" totalsRowFunction="custom" dataDxfId="3288" totalsRowDxfId="3287">
      <totalsRowFormula>SUM(Table1326781011544['# of people reached])</totalsRowFormula>
    </tableColumn>
    <tableColumn id="10" xr3:uid="{68775919-D827-4F08-91FB-2EBDFDCDD528}" name="# of participants" totalsRowFunction="custom" dataDxfId="3286" totalsRowDxfId="3285">
      <totalsRowFormula>SUM(Table1326781011544['# of participants])</totalsRowFormula>
    </tableColumn>
    <tableColumn id="11" xr3:uid="{6372CEA3-5E2E-4CAF-90D6-3329757097A4}" name="# of items handed out" totalsRowFunction="sum" dataDxfId="3284" totalsRowDxfId="3283"/>
    <tableColumn id="12" xr3:uid="{A00D0005-744E-4614-8D07-A5F295A1A837}" name="Reimbursement Amount Requested" totalsRowFunction="sum" dataDxfId="3282" totalsRowDxfId="3281" dataCellStyle="Currency" totalsRowCellStyle="Currency"/>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4" xr:uid="{D4B2582D-1247-42AB-A074-8DD30D4478B5}" name="Table132678101112545" displayName="Table132678101112545" ref="A92:G98" totalsRowCount="1" headerRowDxfId="3280" dataDxfId="3279" tableBorderDxfId="3278" totalsRowBorderDxfId="3277">
  <autoFilter ref="A92:G97" xr:uid="{D4B2582D-1247-42AB-A074-8DD30D4478B5}"/>
  <tableColumns count="7">
    <tableColumn id="1" xr3:uid="{72109F08-A515-47DD-B7AF-F1FFCB578FF1}" name="Activities completed (select from the dropdown list)" totalsRowDxfId="3276"/>
    <tableColumn id="7" xr3:uid="{D53CAE63-209A-485E-BF57-AD8E47133D60}" name="Describe the activity. What was done? What was the topic? How does this support your strategy? What was the desired outcome of this activity? Please be as descriptive/detailed as possible." dataDxfId="3275" totalsRowDxfId="3274"/>
    <tableColumn id="3" xr3:uid="{A58D691C-5880-45A2-9A84-42BBFC1B528E}" name="# of hours" totalsRowFunction="custom" dataDxfId="3273" totalsRowDxfId="3272">
      <totalsRowFormula>SUM(Table132678101112545['# of hours])</totalsRowFormula>
    </tableColumn>
    <tableColumn id="9" xr3:uid="{E4470985-3B6A-4AEB-8DB9-E17E59875DF3}" name="# of people reached" totalsRowFunction="custom" dataDxfId="3271" totalsRowDxfId="3270">
      <totalsRowFormula>SUM(Table132678101112545['# of people reached])</totalsRowFormula>
    </tableColumn>
    <tableColumn id="10" xr3:uid="{72546586-875A-4987-A42C-3CE710055295}" name="# of participants" totalsRowFunction="custom" dataDxfId="3269" totalsRowDxfId="3268">
      <totalsRowFormula>SUM(Table132678101112545['# of participants])</totalsRowFormula>
    </tableColumn>
    <tableColumn id="11" xr3:uid="{E7BC755F-75E7-4B1B-9127-1DAE973BF5A7}" name="# of items handed out" totalsRowFunction="sum" dataDxfId="3267" totalsRowDxfId="3266"/>
    <tableColumn id="12" xr3:uid="{F93D96E9-4DAE-4642-A7D5-14E6B6B22147}" name="Reimbursement Amount Requested" totalsRowFunction="sum" dataDxfId="3265" totalsRowDxfId="3264" dataCellStyle="Currency"/>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5" xr:uid="{83A04FC3-74AE-4828-98EC-8119FDFD9191}" name="Table132546" displayName="Table132546" ref="A6:G12" totalsRowCount="1" headerRowDxfId="3263" dataDxfId="3262" tableBorderDxfId="3261" totalsRowBorderDxfId="3260">
  <autoFilter ref="A6:G11" xr:uid="{83A04FC3-74AE-4828-98EC-8119FDFD9191}"/>
  <tableColumns count="7">
    <tableColumn id="1" xr3:uid="{99CA3E38-F408-4908-B97D-4557900C1815}" name="Activities completed (select from the dropdown list)" totalsRowDxfId="3259"/>
    <tableColumn id="7" xr3:uid="{BEFEDE06-8A2A-4A85-9992-5EEE4CEED9C8}" name="Describe the activity. What was done? What was the topic? How does this support your strategy? What was the desired outcome of this activity? Please be as descriptive/detailed as possible." dataDxfId="3258" totalsRowDxfId="3257"/>
    <tableColumn id="3" xr3:uid="{452B5B1B-6C0D-48F9-8F33-DC4175BDE7D8}" name="# of hours" totalsRowFunction="custom" dataDxfId="3256" totalsRowDxfId="3255">
      <totalsRowFormula>SUM(Table132546['# of hours])</totalsRowFormula>
    </tableColumn>
    <tableColumn id="9" xr3:uid="{F0A3AA4C-989A-4ED7-9340-3242D4CE6C9C}" name="# of people reached" totalsRowFunction="custom" dataDxfId="3254" totalsRowDxfId="3253">
      <totalsRowFormula>SUM(Table132546['# of people reached])</totalsRowFormula>
    </tableColumn>
    <tableColumn id="10" xr3:uid="{5A046AD6-6B47-4547-8C4D-2140913FB067}" name="# of participants" totalsRowFunction="custom" dataDxfId="3252" totalsRowDxfId="3251">
      <totalsRowFormula>SUM(Table132546['# of participants])</totalsRowFormula>
    </tableColumn>
    <tableColumn id="11" xr3:uid="{A4208807-AD32-4EC5-B186-9A8C5C6A5BA3}" name="# of items handed out" totalsRowFunction="sum" dataDxfId="3250" totalsRowDxfId="3249"/>
    <tableColumn id="12" xr3:uid="{D996AE4E-4CE8-471A-B5E0-0C3E263FF559}" name="Reimbursement Amount Requested" totalsRowFunction="sum" dataDxfId="3248" totalsRowDxfId="3247" dataCellStyle="Currency"/>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6" xr:uid="{574546A1-0F6B-431C-83C1-CCE3FC9D9F45}" name="Table1326547" displayName="Table1326547" ref="A18:G29" totalsRowCount="1" headerRowDxfId="3246" dataDxfId="3245" tableBorderDxfId="3244" totalsRowBorderDxfId="3243">
  <autoFilter ref="A18:G28" xr:uid="{574546A1-0F6B-431C-83C1-CCE3FC9D9F45}"/>
  <tableColumns count="7">
    <tableColumn id="1" xr3:uid="{C08097B3-B971-4D60-B538-FF0FADD1A78A}" name="Activities completed (select from the dropdown list)" totalsRowDxfId="3242"/>
    <tableColumn id="7" xr3:uid="{9A4EC956-F67A-456E-8A7E-138531DFECB5}" name="Describe the activity. What was done? What was the topic? How does this support your strategy? What was the desired outcome of this activity? Please be as descriptive/detailed as possible." dataDxfId="3241" totalsRowDxfId="3240"/>
    <tableColumn id="3" xr3:uid="{7E941FEF-DACF-48B0-BE8E-E1700C5B42E3}" name="# of hours" totalsRowFunction="custom" dataDxfId="3239" totalsRowDxfId="3238">
      <totalsRowFormula>SUM(Table1326547['# of hours])</totalsRowFormula>
    </tableColumn>
    <tableColumn id="9" xr3:uid="{D0F2935C-5871-4C75-937C-3710ECBA4431}" name="# of people reached" totalsRowFunction="custom" dataDxfId="3237" totalsRowDxfId="3236">
      <totalsRowFormula>SUM(Table1326547['# of people reached])</totalsRowFormula>
    </tableColumn>
    <tableColumn id="10" xr3:uid="{AD7AD024-9C01-44E0-BE2E-4777A777A2CF}" name="# of participants" totalsRowFunction="custom" dataDxfId="3235" totalsRowDxfId="3234">
      <totalsRowFormula>SUM(Table1326547['# of participants])</totalsRowFormula>
    </tableColumn>
    <tableColumn id="11" xr3:uid="{E259FD07-86AA-4959-9CFD-8E3AC833D766}" name="# of items handed out" totalsRowFunction="sum" dataDxfId="3233" totalsRowDxfId="3232"/>
    <tableColumn id="12" xr3:uid="{C92AF0AF-B422-42DC-B9C1-636427302EA9}" name="Reimbursement Amount Requested" totalsRowFunction="sum" dataDxfId="3231" totalsRowDxfId="3230" dataCellStyle="Currency" totalsRowCellStyle="Currency"/>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7" xr:uid="{93D53F0A-5986-42C7-B180-D0764520527A}" name="Table13267548" displayName="Table13267548" ref="A35:G41" totalsRowCount="1" headerRowDxfId="3229" dataDxfId="3228" tableBorderDxfId="3227" totalsRowBorderDxfId="3226">
  <autoFilter ref="A35:G40" xr:uid="{93D53F0A-5986-42C7-B180-D0764520527A}"/>
  <tableColumns count="7">
    <tableColumn id="1" xr3:uid="{B345DCB5-01E1-490F-BB8F-1A5D321D3E34}" name="Activities completed (select from the dropdown list)" totalsRowDxfId="3225"/>
    <tableColumn id="7" xr3:uid="{5A7F57C9-CF03-400E-94C6-C59953C2B827}" name="Describe the activity. What was done? What was the topic? How does this support your strategy? What was the desired outcome of this activity? Please be as descriptive/detailed as possible." dataDxfId="3224" totalsRowDxfId="3223"/>
    <tableColumn id="3" xr3:uid="{1E83A2CB-DC4C-4153-9703-94A82F2633B6}" name="# of hours" totalsRowFunction="custom" dataDxfId="3222" totalsRowDxfId="3221">
      <totalsRowFormula>SUM(Table13267548['# of hours])</totalsRowFormula>
    </tableColumn>
    <tableColumn id="9" xr3:uid="{3AD0E2EF-4A33-4684-8DC1-EBDD3052A1A0}" name="# of people reached" totalsRowFunction="custom" dataDxfId="3220" totalsRowDxfId="3219">
      <totalsRowFormula>SUM(Table13267548['# of people reached])</totalsRowFormula>
    </tableColumn>
    <tableColumn id="10" xr3:uid="{B62B5A7D-2A64-4FF7-86D0-272A296C05F6}" name="# of participants" totalsRowFunction="custom" dataDxfId="3218" totalsRowDxfId="3217">
      <totalsRowFormula>SUM(Table13267548['# of participants])</totalsRowFormula>
    </tableColumn>
    <tableColumn id="11" xr3:uid="{FFAA80CA-8F9C-4985-87CE-E21BCF8D52B2}" name="# of items handed out" totalsRowFunction="sum" dataDxfId="3216" totalsRowDxfId="3215"/>
    <tableColumn id="12" xr3:uid="{B89D10A3-16AA-4273-A8E7-E36373604C26}" name="Reimbursement Amount Requested" totalsRowFunction="sum" dataDxfId="3214" totalsRowDxfId="3213" dataCellStyle="Currency" totalsRowCellStyle="Currency"/>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8" xr:uid="{56A599A5-27E5-4C80-8093-148C4363B660}" name="Table132678549" displayName="Table132678549" ref="A47:G53" totalsRowCount="1" headerRowDxfId="3212" dataDxfId="3211" tableBorderDxfId="3210" totalsRowBorderDxfId="3209">
  <autoFilter ref="A47:G52" xr:uid="{56A599A5-27E5-4C80-8093-148C4363B660}"/>
  <tableColumns count="7">
    <tableColumn id="1" xr3:uid="{0699B734-607B-4EE4-B59F-F68EEE7C15F6}" name="Activities completed (select from the dropdown list)" totalsRowDxfId="3208"/>
    <tableColumn id="7" xr3:uid="{911A2CC6-1BEC-458D-9389-C3D06055E0ED}" name="Describe the activity. What was done? What was the topic? How does this support your strategy? What was the desired outcome of this activity? Please be as descriptive/detailed as possible." dataDxfId="3207" totalsRowDxfId="3206"/>
    <tableColumn id="3" xr3:uid="{F26D19F5-0313-4BA0-955C-E20227D8E26F}" name="# of hours" totalsRowFunction="custom" dataDxfId="3205" totalsRowDxfId="3204">
      <totalsRowFormula>SUM(Table132678549['# of hours])</totalsRowFormula>
    </tableColumn>
    <tableColumn id="9" xr3:uid="{BBFF255D-B0BE-44E7-8537-D31A61D9F5B5}" name="# of people reached" totalsRowFunction="custom" dataDxfId="3203" totalsRowDxfId="3202">
      <totalsRowFormula>SUM(Table132678549['# of people reached])</totalsRowFormula>
    </tableColumn>
    <tableColumn id="10" xr3:uid="{F4353DF4-2921-4D29-AE70-DBE49D0647D8}" name="# of participants" totalsRowFunction="custom" dataDxfId="3201" totalsRowDxfId="3200">
      <totalsRowFormula>SUM(Table132678549['# of participants])</totalsRowFormula>
    </tableColumn>
    <tableColumn id="11" xr3:uid="{3F1977DC-152F-4AA8-8DD7-DCEB983C082D}" name="# of items handed out" totalsRowFunction="sum" dataDxfId="3199" totalsRowDxfId="3198"/>
    <tableColumn id="12" xr3:uid="{4D1E1B4A-4E63-4DE9-B336-7C2FE6EAD49C}" name="Reimbursement Amount Requested" totalsRowFunction="sum" dataDxfId="3197" totalsRowDxfId="3196" dataCellStyle="Currency"/>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9" xr:uid="{4BDB3982-DC9F-4B8F-B4CE-FC3ED114D293}" name="Table1326789550" displayName="Table1326789550" ref="A59:G62" totalsRowCount="1" headerRowDxfId="3195" dataDxfId="3194" tableBorderDxfId="3193" totalsRowBorderDxfId="3192">
  <autoFilter ref="A59:G61" xr:uid="{4BDB3982-DC9F-4B8F-B4CE-FC3ED114D293}"/>
  <tableColumns count="7">
    <tableColumn id="1" xr3:uid="{A5C3C572-C98D-46E1-8A8E-AB979CBC9995}" name="Activities completed (select from the dropdown list)" totalsRowDxfId="3191"/>
    <tableColumn id="7" xr3:uid="{29FBC549-740D-48A7-9F9F-5C8B8426405B}" name="Describe the activity. What was done? What was the topic? How does this support your strategy? What was the desired outcome of this activity? Please be as descriptive/detailed as possible." dataDxfId="3190" totalsRowDxfId="3189"/>
    <tableColumn id="3" xr3:uid="{CFC2E079-17DF-4C68-8CA3-74DDCDD6E6DD}" name="# of hours" totalsRowFunction="custom" dataDxfId="3188" totalsRowDxfId="3187">
      <totalsRowFormula>SUM(Table1326789550['# of hours])</totalsRowFormula>
    </tableColumn>
    <tableColumn id="9" xr3:uid="{4F23C887-9C3B-464D-AF2E-AEF34446265A}" name="# of people reached" totalsRowFunction="custom" dataDxfId="3186" totalsRowDxfId="3185">
      <totalsRowFormula>SUM(Table1326789550['# of people reached])</totalsRowFormula>
    </tableColumn>
    <tableColumn id="10" xr3:uid="{D36D1862-1531-46AD-B0E1-23AEE705EBB5}" name="# of participants" totalsRowFunction="custom" dataDxfId="3184" totalsRowDxfId="3183">
      <totalsRowFormula>SUM(Table1326789550['# of participants])</totalsRowFormula>
    </tableColumn>
    <tableColumn id="11" xr3:uid="{96B79374-5FC6-4839-955E-330258D60EB2}" name="# of items handed out" totalsRowFunction="sum" dataDxfId="3182" totalsRowDxfId="3181"/>
    <tableColumn id="12" xr3:uid="{C3E47AE1-8C30-4BAA-A139-E076ECBE9497}" name="Reimbursement Amount Requested" totalsRowFunction="sum" dataDxfId="3180" totalsRowDxfId="3179" dataCellStyle="Currency"/>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0" xr:uid="{2AEE95B8-F0EB-4CD8-BF4F-B37CAC999C37}" name="Table13267810551" displayName="Table13267810551" ref="A68:G74" totalsRowCount="1" headerRowDxfId="3178" dataDxfId="3177" tableBorderDxfId="3176" totalsRowBorderDxfId="3175">
  <autoFilter ref="A68:G73" xr:uid="{2AEE95B8-F0EB-4CD8-BF4F-B37CAC999C37}"/>
  <tableColumns count="7">
    <tableColumn id="1" xr3:uid="{4C32F6DD-EF1E-4414-B287-EAD73CFF17CB}" name="Activities completed (select from the dropdown list)" totalsRowDxfId="3174"/>
    <tableColumn id="7" xr3:uid="{8D6443B4-2B39-41AC-BA12-98718233B8D9}" name="Describe the activity. What was done? What was the topic? How does this support your strategy? What was the desired outcome of this activity? Please be as descriptive/detailed as possible." dataDxfId="3173" totalsRowDxfId="3172"/>
    <tableColumn id="3" xr3:uid="{1646D18B-0C1F-44F1-A224-55CDBDCD22BB}" name="# of hours" totalsRowFunction="custom" dataDxfId="3171" totalsRowDxfId="3170">
      <totalsRowFormula>SUM(Table13267810551['# of hours])</totalsRowFormula>
    </tableColumn>
    <tableColumn id="9" xr3:uid="{9F275EB7-3625-4E48-AE85-6780DE584369}" name="# of people reached" totalsRowFunction="custom" dataDxfId="3169" totalsRowDxfId="3168">
      <totalsRowFormula>SUM(Table13267810551['# of people reached])</totalsRowFormula>
    </tableColumn>
    <tableColumn id="10" xr3:uid="{4EF94F35-2AFD-4665-91CD-1999C8D35B8B}" name="# of participants" totalsRowFunction="custom" dataDxfId="3167" totalsRowDxfId="3166">
      <totalsRowFormula>SUM(Table13267810551['# of participants])</totalsRowFormula>
    </tableColumn>
    <tableColumn id="11" xr3:uid="{19E0A564-B39B-4E83-8F62-1E889473CD8B}" name="# of items handed out" totalsRowFunction="sum" dataDxfId="3165" totalsRowDxfId="3164"/>
    <tableColumn id="12" xr3:uid="{09A5E6FE-379B-46A9-A738-CA29687461F0}" name="Reimbursement Amount Requested" totalsRowFunction="sum" dataDxfId="3163" totalsRowDxfId="3162" dataCellStyle="Currency" totalsRowCellStyle="Currency"/>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1" xr:uid="{B42EDA96-7465-4756-BFA4-EBB785C91227}" name="Table1326781011552" displayName="Table1326781011552" ref="A80:G86" totalsRowCount="1" headerRowDxfId="3161" dataDxfId="3160" tableBorderDxfId="3159" totalsRowBorderDxfId="3158">
  <autoFilter ref="A80:G85" xr:uid="{B42EDA96-7465-4756-BFA4-EBB785C91227}"/>
  <tableColumns count="7">
    <tableColumn id="1" xr3:uid="{045BBB30-67B7-4045-8ABD-5B479D22588C}" name="Activities completed (select from the dropdown list)" totalsRowDxfId="3157"/>
    <tableColumn id="7" xr3:uid="{585C509F-E644-4D2A-BCD1-F7D346D81E6D}" name="Describe the activity. What was done? What was the topic? How does this support your strategy? What was the desired outcome of this activity? Please be as descriptive/detailed as possible." dataDxfId="3156" totalsRowDxfId="3155"/>
    <tableColumn id="3" xr3:uid="{D1DD7C92-A584-42BA-9A3F-3F78E63A5A1F}" name="# of hours" totalsRowFunction="custom" dataDxfId="3154" totalsRowDxfId="3153">
      <totalsRowFormula>SUM(Table1326781011552['# of hours])</totalsRowFormula>
    </tableColumn>
    <tableColumn id="9" xr3:uid="{24813787-C66F-4EA1-9796-D2B45EA7F7A3}" name="# of people reached" totalsRowFunction="custom" dataDxfId="3152" totalsRowDxfId="3151">
      <totalsRowFormula>SUM(Table1326781011552['# of people reached])</totalsRowFormula>
    </tableColumn>
    <tableColumn id="10" xr3:uid="{4E470AD5-2203-4349-AC0A-B2D94E8B6F07}" name="# of participants" totalsRowFunction="custom" dataDxfId="3150" totalsRowDxfId="3149">
      <totalsRowFormula>SUM(Table1326781011552['# of participants])</totalsRowFormula>
    </tableColumn>
    <tableColumn id="11" xr3:uid="{7827F8DF-D4DE-421D-B813-F887A2D36065}" name="# of items handed out" totalsRowFunction="sum" dataDxfId="3148" totalsRowDxfId="3147"/>
    <tableColumn id="12" xr3:uid="{C2E14E84-95F5-4278-A526-26E631C32AB9}" name="Reimbursement Amount Requested" totalsRowFunction="sum" dataDxfId="3146" totalsRowDxfId="3145" dataCellStyle="Currency" totalsRowCellStyle="Currency"/>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2" xr:uid="{BEBF5922-777B-4FC8-A145-5344ACF14CE7}" name="Table132678101112553" displayName="Table132678101112553" ref="A92:G98" totalsRowCount="1" headerRowDxfId="3144" dataDxfId="3143" tableBorderDxfId="3142" totalsRowBorderDxfId="3141">
  <autoFilter ref="A92:G97" xr:uid="{BEBF5922-777B-4FC8-A145-5344ACF14CE7}"/>
  <tableColumns count="7">
    <tableColumn id="1" xr3:uid="{6A1A8412-82B0-48CA-BEAD-66CC09345AB8}" name="Activities completed (select from the dropdown list)" totalsRowDxfId="3140"/>
    <tableColumn id="7" xr3:uid="{B024E3FA-A670-49BB-95E4-0C5848B20237}" name="Describe the activity. What was done? What was the topic? How does this support your strategy? What was the desired outcome of this activity? Please be as descriptive/detailed as possible." dataDxfId="3139" totalsRowDxfId="3138"/>
    <tableColumn id="3" xr3:uid="{02E2DBEB-B11B-42CE-9DFA-B22B722272CC}" name="# of hours" totalsRowFunction="custom" dataDxfId="3137" totalsRowDxfId="3136">
      <totalsRowFormula>SUM(Table132678101112553['# of hours])</totalsRowFormula>
    </tableColumn>
    <tableColumn id="9" xr3:uid="{16213EC8-6A4E-41F4-B79B-5DBB1C7E3D4A}" name="# of people reached" totalsRowFunction="custom" dataDxfId="3135" totalsRowDxfId="3134">
      <totalsRowFormula>SUM(Table132678101112553['# of people reached])</totalsRowFormula>
    </tableColumn>
    <tableColumn id="10" xr3:uid="{35A080DD-01F1-4BF3-A8AE-FCA9F8A6B1EF}" name="# of participants" totalsRowFunction="custom" dataDxfId="3133" totalsRowDxfId="3132">
      <totalsRowFormula>SUM(Table132678101112553['# of participants])</totalsRowFormula>
    </tableColumn>
    <tableColumn id="11" xr3:uid="{806E46B3-1C8E-4324-83FE-67CDBCB4A00D}" name="# of items handed out" totalsRowFunction="sum" dataDxfId="3131" totalsRowDxfId="3130"/>
    <tableColumn id="12" xr3:uid="{FBB0D8A3-EE01-40D4-BECE-8B423226D27B}" name="Reimbursement Amount Requested" totalsRowFunction="sum" dataDxfId="3129" totalsRowDxfId="3128" dataCellStyle="Currency"/>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3" xr:uid="{37850FA2-FC3D-4B43-AA21-F33BE63198EC}" name="Table132554" displayName="Table132554" ref="A6:G12" totalsRowCount="1" headerRowDxfId="3127" dataDxfId="3126" tableBorderDxfId="3125" totalsRowBorderDxfId="3124">
  <autoFilter ref="A6:G11" xr:uid="{37850FA2-FC3D-4B43-AA21-F33BE63198EC}"/>
  <tableColumns count="7">
    <tableColumn id="1" xr3:uid="{C2F00A64-86FE-49D8-A0EF-58D64B0D0EBE}" name="Activities completed (select from the dropdown list)" totalsRowDxfId="3123"/>
    <tableColumn id="7" xr3:uid="{791AE6A7-DBD8-465A-902F-27531EAC098B}" name="Describe the activity. What was done? What was the topic? How does this support your strategy? What was the desired outcome of this activity? Please be as descriptive/detailed as possible." dataDxfId="3122" totalsRowDxfId="3121"/>
    <tableColumn id="3" xr3:uid="{1FA6B998-72CD-46C3-A565-C6F4AE18B9B8}" name="# of hours" totalsRowFunction="custom" dataDxfId="3120" totalsRowDxfId="3119">
      <totalsRowFormula>SUM(Table132554['# of hours])</totalsRowFormula>
    </tableColumn>
    <tableColumn id="9" xr3:uid="{407A370C-F3E3-4ED6-9F0A-525D6420D184}" name="# of people reached" totalsRowFunction="custom" dataDxfId="3118" totalsRowDxfId="3117">
      <totalsRowFormula>SUM(Table132554['# of people reached])</totalsRowFormula>
    </tableColumn>
    <tableColumn id="10" xr3:uid="{1F01A673-4C96-4424-AE8D-D8F1B839161A}" name="# of participants" totalsRowFunction="custom" dataDxfId="3116" totalsRowDxfId="3115">
      <totalsRowFormula>SUM(Table132554['# of participants])</totalsRowFormula>
    </tableColumn>
    <tableColumn id="11" xr3:uid="{2E15C4E0-0D4F-4473-8048-E5458D8DDD99}" name="# of items handed out" totalsRowFunction="sum" dataDxfId="3114" totalsRowDxfId="3113"/>
    <tableColumn id="12" xr3:uid="{22FA0AE4-634E-4740-8FF0-0E8B46ADE7AB}" name="Reimbursement Amount Requested" totalsRowFunction="sum" dataDxfId="3112" totalsRowDxfId="3111" dataCellStyle="Currency"/>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4" xr:uid="{00106C2E-1F36-4450-8ADC-8AAFFAABD0C5}" name="Table1326555" displayName="Table1326555" ref="A18:G29" totalsRowCount="1" headerRowDxfId="3110" dataDxfId="3109" tableBorderDxfId="3108" totalsRowBorderDxfId="3107">
  <autoFilter ref="A18:G28" xr:uid="{00106C2E-1F36-4450-8ADC-8AAFFAABD0C5}"/>
  <tableColumns count="7">
    <tableColumn id="1" xr3:uid="{1D993A0A-2B15-4CEB-9199-64746C96AB4B}" name="Activities completed (select from the dropdown list)" totalsRowDxfId="3106"/>
    <tableColumn id="7" xr3:uid="{2845ADA0-3F01-4791-A634-8860D1DE8ED8}" name="Describe the activity. What was done? What was the topic? How does this support your strategy? What was the desired outcome of this activity? Please be as descriptive/detailed as possible." dataDxfId="3105" totalsRowDxfId="3104"/>
    <tableColumn id="3" xr3:uid="{5F43F4C3-D791-4B50-9D5D-1DFF6E43CF9A}" name="# of hours" totalsRowFunction="custom" dataDxfId="3103" totalsRowDxfId="3102">
      <totalsRowFormula>SUM(Table1326555['# of hours])</totalsRowFormula>
    </tableColumn>
    <tableColumn id="9" xr3:uid="{396578E3-048F-41AD-9D63-BF53F8F89E3E}" name="# of people reached" totalsRowFunction="custom" dataDxfId="3101" totalsRowDxfId="3100">
      <totalsRowFormula>SUM(Table1326555['# of people reached])</totalsRowFormula>
    </tableColumn>
    <tableColumn id="10" xr3:uid="{5A7A9AD2-BDD2-4AC3-9D4F-C4775D6311B5}" name="# of participants" totalsRowFunction="custom" dataDxfId="3099" totalsRowDxfId="3098">
      <totalsRowFormula>SUM(Table1326555['# of participants])</totalsRowFormula>
    </tableColumn>
    <tableColumn id="11" xr3:uid="{51586820-15A8-4A97-9B6A-0547029D3AEA}" name="# of items handed out" totalsRowFunction="sum" dataDxfId="3097" totalsRowDxfId="3096"/>
    <tableColumn id="12" xr3:uid="{E25564AF-9C48-46FB-851D-35A649BE55D5}" name="Reimbursement Amount Requested" totalsRowFunction="sum" dataDxfId="3095" totalsRowDxfId="3094" dataCellStyle="Currency" totalsRowCellStyle="Currency"/>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5" xr:uid="{E72DF90F-CD97-42CB-94A8-B69746CF492A}" name="Table13267556" displayName="Table13267556" ref="A35:G41" totalsRowCount="1" headerRowDxfId="3093" dataDxfId="3092" tableBorderDxfId="3091" totalsRowBorderDxfId="3090">
  <autoFilter ref="A35:G40" xr:uid="{E72DF90F-CD97-42CB-94A8-B69746CF492A}"/>
  <tableColumns count="7">
    <tableColumn id="1" xr3:uid="{15A25252-1FC8-4040-8854-1A10F6686E29}" name="Activities completed (select from the dropdown list)" totalsRowDxfId="3089"/>
    <tableColumn id="7" xr3:uid="{90DE99C8-7B01-44CB-BBC9-AF52467212DA}" name="Describe the activity. What was done? What was the topic? How does this support your strategy? What was the desired outcome of this activity? Please be as descriptive/detailed as possible." dataDxfId="3088" totalsRowDxfId="3087"/>
    <tableColumn id="3" xr3:uid="{B877A7B2-A261-4A46-894F-BF9AE739FDC7}" name="# of hours" totalsRowFunction="custom" dataDxfId="3086" totalsRowDxfId="3085">
      <totalsRowFormula>SUM(Table13267556['# of hours])</totalsRowFormula>
    </tableColumn>
    <tableColumn id="9" xr3:uid="{D2DB0273-B37E-4663-AFA7-9B421B25F7E8}" name="# of people reached" totalsRowFunction="custom" dataDxfId="3084" totalsRowDxfId="3083">
      <totalsRowFormula>SUM(Table13267556['# of people reached])</totalsRowFormula>
    </tableColumn>
    <tableColumn id="10" xr3:uid="{17B7DCF8-0B9A-4396-A1EF-3F12FC453B6F}" name="# of participants" totalsRowFunction="custom" dataDxfId="3082" totalsRowDxfId="3081">
      <totalsRowFormula>SUM(Table13267556['# of participants])</totalsRowFormula>
    </tableColumn>
    <tableColumn id="11" xr3:uid="{5268F0FC-BD8C-4B28-AFCA-EA858755DE1C}" name="# of items handed out" totalsRowFunction="sum" dataDxfId="3080" totalsRowDxfId="3079"/>
    <tableColumn id="12" xr3:uid="{A3D76CA4-44C4-4CFE-B0F7-3C793BB1EC50}" name="Reimbursement Amount Requested" totalsRowFunction="sum" dataDxfId="3078" totalsRowDxfId="3077" dataCellStyle="Currency" totalsRowCellStyle="Currency"/>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6" xr:uid="{6D659C10-481D-4CE3-97AA-2B451E0EFFCA}" name="Table132678557" displayName="Table132678557" ref="A47:G53" totalsRowCount="1" headerRowDxfId="3076" dataDxfId="3075" tableBorderDxfId="3074" totalsRowBorderDxfId="3073">
  <autoFilter ref="A47:G52" xr:uid="{6D659C10-481D-4CE3-97AA-2B451E0EFFCA}"/>
  <tableColumns count="7">
    <tableColumn id="1" xr3:uid="{DC76A42A-C8C8-456D-B8CA-76FE81634855}" name="Activities completed (select from the dropdown list)" totalsRowDxfId="3072"/>
    <tableColumn id="7" xr3:uid="{82E57E70-BCF7-4E1C-B20A-E0D2607C7D68}" name="Describe the activity. What was done? What was the topic? How does this support your strategy? What was the desired outcome of this activity? Please be as descriptive/detailed as possible." dataDxfId="3071" totalsRowDxfId="3070"/>
    <tableColumn id="3" xr3:uid="{5CF8AED6-E5D0-4BBA-93BC-283B0E3539B8}" name="# of hours" totalsRowFunction="custom" dataDxfId="3069" totalsRowDxfId="3068">
      <totalsRowFormula>SUM(Table132678557['# of hours])</totalsRowFormula>
    </tableColumn>
    <tableColumn id="9" xr3:uid="{71FEE8D2-4DE9-4ABB-8069-4147F4B454B8}" name="# of people reached" totalsRowFunction="custom" dataDxfId="3067" totalsRowDxfId="3066">
      <totalsRowFormula>SUM(Table132678557['# of people reached])</totalsRowFormula>
    </tableColumn>
    <tableColumn id="10" xr3:uid="{36145D33-BCFD-4F5F-9BEF-304BBE0E93BF}" name="# of participants" totalsRowFunction="custom" dataDxfId="3065" totalsRowDxfId="3064">
      <totalsRowFormula>SUM(Table132678557['# of participants])</totalsRowFormula>
    </tableColumn>
    <tableColumn id="11" xr3:uid="{08EF3F64-30C6-41D9-8458-C8D65F4ED656}" name="# of items handed out" totalsRowFunction="sum" dataDxfId="3063" totalsRowDxfId="3062"/>
    <tableColumn id="12" xr3:uid="{8A81377B-1DA4-4E5E-8873-760366A91BF9}" name="Reimbursement Amount Requested" totalsRowFunction="sum" dataDxfId="3061" totalsRowDxfId="3060" dataCellStyle="Currency"/>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7" xr:uid="{1D58C2CC-7CA2-4602-AE6C-C17214D1E1FB}" name="Table1326789558" displayName="Table1326789558" ref="A59:G62" totalsRowCount="1" headerRowDxfId="3059" dataDxfId="3058" tableBorderDxfId="3057" totalsRowBorderDxfId="3056">
  <autoFilter ref="A59:G61" xr:uid="{1D58C2CC-7CA2-4602-AE6C-C17214D1E1FB}"/>
  <tableColumns count="7">
    <tableColumn id="1" xr3:uid="{64A9A048-89D1-4018-88D6-C5C50AFDEA9E}" name="Activities completed (select from the dropdown list)" totalsRowDxfId="3055"/>
    <tableColumn id="7" xr3:uid="{347EF87C-0D6D-4F08-B8F2-EBB76FF32E22}" name="Describe the activity. What was done? What was the topic? How does this support your strategy? What was the desired outcome of this activity? Please be as descriptive/detailed as possible." dataDxfId="3054" totalsRowDxfId="3053"/>
    <tableColumn id="3" xr3:uid="{407F02DF-E734-4C06-BAF7-0EE987613714}" name="# of hours" totalsRowFunction="custom" dataDxfId="3052" totalsRowDxfId="3051">
      <totalsRowFormula>SUM(Table1326789558['# of hours])</totalsRowFormula>
    </tableColumn>
    <tableColumn id="9" xr3:uid="{5E3BA9A9-A13C-432C-8E7F-F6D153B6C724}" name="# of people reached" totalsRowFunction="custom" dataDxfId="3050" totalsRowDxfId="3049">
      <totalsRowFormula>SUM(Table1326789558['# of people reached])</totalsRowFormula>
    </tableColumn>
    <tableColumn id="10" xr3:uid="{5AF6F5FE-3CBF-46BC-9018-217DEA871B84}" name="# of participants" totalsRowFunction="custom" dataDxfId="3048" totalsRowDxfId="3047">
      <totalsRowFormula>SUM(Table1326789558['# of participants])</totalsRowFormula>
    </tableColumn>
    <tableColumn id="11" xr3:uid="{5E569CB6-166B-4A8A-A88C-A8C0BE6A7F17}" name="# of items handed out" totalsRowFunction="sum" dataDxfId="3046" totalsRowDxfId="3045"/>
    <tableColumn id="12" xr3:uid="{7FF09ABE-76F2-4564-BBF9-7FB21C5F7113}" name="Reimbursement Amount Requested" totalsRowFunction="sum" dataDxfId="3044" totalsRowDxfId="3043" dataCellStyle="Currency"/>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8" xr:uid="{ECB53D92-1B49-4E83-9BCE-E9E5A22847B6}" name="Table13267810559" displayName="Table13267810559" ref="A68:G74" totalsRowCount="1" headerRowDxfId="3042" dataDxfId="3041" tableBorderDxfId="3040" totalsRowBorderDxfId="3039">
  <autoFilter ref="A68:G73" xr:uid="{ECB53D92-1B49-4E83-9BCE-E9E5A22847B6}"/>
  <tableColumns count="7">
    <tableColumn id="1" xr3:uid="{19871E9B-51D7-442C-9FDE-C75E646BF45B}" name="Activities completed (select from the dropdown list)" totalsRowDxfId="3038"/>
    <tableColumn id="7" xr3:uid="{BAC36AC1-C413-4AF5-A4D5-0CC1B2C121BD}" name="Describe the activity. What was done? What was the topic? How does this support your strategy? What was the desired outcome of this activity? Please be as descriptive/detailed as possible." dataDxfId="3037" totalsRowDxfId="3036"/>
    <tableColumn id="3" xr3:uid="{627B417D-3632-4466-BDD1-33FDA6BFEF01}" name="# of hours" totalsRowFunction="custom" dataDxfId="3035" totalsRowDxfId="3034">
      <totalsRowFormula>SUM(Table13267810559['# of hours])</totalsRowFormula>
    </tableColumn>
    <tableColumn id="9" xr3:uid="{B108D29B-655B-4B69-A104-C968D5260855}" name="# of people reached" totalsRowFunction="custom" dataDxfId="3033" totalsRowDxfId="3032">
      <totalsRowFormula>SUM(Table13267810559['# of people reached])</totalsRowFormula>
    </tableColumn>
    <tableColumn id="10" xr3:uid="{7F16188F-8035-4ED1-BA05-8F1148ABBDBD}" name="# of participants" totalsRowFunction="custom" dataDxfId="3031" totalsRowDxfId="3030">
      <totalsRowFormula>SUM(Table13267810559['# of participants])</totalsRowFormula>
    </tableColumn>
    <tableColumn id="11" xr3:uid="{CBC02EFE-7BE1-4450-AC1B-E7911221C33D}" name="# of items handed out" totalsRowFunction="sum" dataDxfId="3029" totalsRowDxfId="3028"/>
    <tableColumn id="12" xr3:uid="{5BC56339-3C12-49B2-84BE-33F1FC134ED8}" name="Reimbursement Amount Requested" totalsRowFunction="sum" dataDxfId="3027" totalsRowDxfId="3026" dataCellStyle="Currency" totalsRowCellStyle="Currency"/>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9" xr:uid="{0E1508B4-9D84-4C13-A2EB-09E3991FED5C}" name="Table1326781011560" displayName="Table1326781011560" ref="A80:G86" totalsRowCount="1" headerRowDxfId="3025" dataDxfId="3024" tableBorderDxfId="3023" totalsRowBorderDxfId="3022">
  <autoFilter ref="A80:G85" xr:uid="{0E1508B4-9D84-4C13-A2EB-09E3991FED5C}"/>
  <tableColumns count="7">
    <tableColumn id="1" xr3:uid="{4FAA871B-576E-424B-94B1-EFD5825D055C}" name="Activities completed (select from the dropdown list)" totalsRowDxfId="3021"/>
    <tableColumn id="7" xr3:uid="{792C73CE-0D7C-4CC3-B1F6-B5BA8A5AE793}" name="Describe the activity. What was done? What was the topic? How does this support your strategy? What was the desired outcome of this activity? Please be as descriptive/detailed as possible." dataDxfId="3020" totalsRowDxfId="3019"/>
    <tableColumn id="3" xr3:uid="{42C83C54-ED34-4270-8B15-7CC83CAE089E}" name="# of hours" totalsRowFunction="custom" dataDxfId="3018" totalsRowDxfId="3017">
      <totalsRowFormula>SUM(Table1326781011560['# of hours])</totalsRowFormula>
    </tableColumn>
    <tableColumn id="9" xr3:uid="{42FBBC17-4B4F-4BD8-AA45-8A2D9150EF18}" name="# of people reached" totalsRowFunction="custom" dataDxfId="3016" totalsRowDxfId="3015">
      <totalsRowFormula>SUM(Table1326781011560['# of people reached])</totalsRowFormula>
    </tableColumn>
    <tableColumn id="10" xr3:uid="{3FF31275-EB33-497E-8380-D2CE7759C5A3}" name="# of participants" totalsRowFunction="custom" dataDxfId="3014" totalsRowDxfId="3013">
      <totalsRowFormula>SUM(Table1326781011560['# of participants])</totalsRowFormula>
    </tableColumn>
    <tableColumn id="11" xr3:uid="{DF5EF57F-7D9C-4D94-BC4B-30FA00EE521D}" name="# of items handed out" totalsRowFunction="sum" dataDxfId="3012" totalsRowDxfId="3011"/>
    <tableColumn id="12" xr3:uid="{B1B9D801-FA50-44C1-A980-4DBC1A0AB421}" name="Reimbursement Amount Requested" totalsRowFunction="sum" dataDxfId="3010" totalsRowDxfId="3009" dataCellStyle="Currency" totalsRowCellStyle="Currency"/>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0" xr:uid="{AFCE2BB6-B67A-4825-92B0-756C2A87E9A0}" name="Table132678101112561" displayName="Table132678101112561" ref="A92:G98" totalsRowCount="1" headerRowDxfId="3008" dataDxfId="3007" tableBorderDxfId="3006" totalsRowBorderDxfId="3005">
  <autoFilter ref="A92:G97" xr:uid="{AFCE2BB6-B67A-4825-92B0-756C2A87E9A0}"/>
  <tableColumns count="7">
    <tableColumn id="1" xr3:uid="{75351F60-390F-4996-AC9A-515A90832E5F}" name="Activities completed (select from the dropdown list)" totalsRowDxfId="3004"/>
    <tableColumn id="7" xr3:uid="{AAD62B68-A69A-4C92-9B3C-30EC5FAFCECD}" name="Describe the activity. What was done? What was the topic? How does this support your strategy? What was the desired outcome of this activity? Please be as descriptive/detailed as possible." dataDxfId="3003" totalsRowDxfId="3002"/>
    <tableColumn id="3" xr3:uid="{EE463A03-76BF-4C59-82D3-A7106A06EA0C}" name="# of hours" totalsRowFunction="custom" dataDxfId="3001" totalsRowDxfId="3000">
      <totalsRowFormula>SUM(Table132678101112561['# of hours])</totalsRowFormula>
    </tableColumn>
    <tableColumn id="9" xr3:uid="{6A9F4189-B634-4C70-A19E-6FE1FDF44909}" name="# of people reached" totalsRowFunction="custom" dataDxfId="2999" totalsRowDxfId="2998">
      <totalsRowFormula>SUM(Table132678101112561['# of people reached])</totalsRowFormula>
    </tableColumn>
    <tableColumn id="10" xr3:uid="{B1EF0C9E-88E0-4ED2-87C1-B179A95F0FF7}" name="# of participants" totalsRowFunction="custom" dataDxfId="2997" totalsRowDxfId="2996">
      <totalsRowFormula>SUM(Table132678101112561['# of participants])</totalsRowFormula>
    </tableColumn>
    <tableColumn id="11" xr3:uid="{FF4E679B-2716-43B3-BEA9-831F4E338AFA}" name="# of items handed out" totalsRowFunction="sum" dataDxfId="2995" totalsRowDxfId="2994"/>
    <tableColumn id="12" xr3:uid="{B8B36CD3-E55B-46E0-B9A9-023F32296CEC}" name="Reimbursement Amount Requested" totalsRowFunction="sum" dataDxfId="2993" totalsRowDxfId="2992" dataCellStyle="Currency"/>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1" xr:uid="{AFE69498-6896-4929-B6FD-DC9D912DDD5B}" name="Table132562" displayName="Table132562" ref="A6:G12" totalsRowCount="1" headerRowDxfId="2991" dataDxfId="2990" tableBorderDxfId="2989" totalsRowBorderDxfId="2988">
  <autoFilter ref="A6:G11" xr:uid="{AFE69498-6896-4929-B6FD-DC9D912DDD5B}"/>
  <tableColumns count="7">
    <tableColumn id="1" xr3:uid="{57679FFA-251A-489C-A369-66D97A18B5FF}" name="Activities completed (select from the dropdown list)" totalsRowDxfId="2987"/>
    <tableColumn id="7" xr3:uid="{40023BF2-F74C-43F4-86D0-0CB9CC1D1A41}" name="Describe the activity. What was done? What was the topic? How does this support your strategy? What was the desired outcome of this activity? Please be as descriptive/detailed as possible." dataDxfId="2986" totalsRowDxfId="2985"/>
    <tableColumn id="3" xr3:uid="{7792B4F2-16C4-4503-884C-D2D022AD14E3}" name="# of hours" totalsRowFunction="custom" dataDxfId="2984" totalsRowDxfId="2983">
      <totalsRowFormula>SUM(Table132562['# of hours])</totalsRowFormula>
    </tableColumn>
    <tableColumn id="9" xr3:uid="{92258DE0-3E12-43F4-9D47-BD57BBEB3F1F}" name="# of people reached" totalsRowFunction="custom" dataDxfId="2982" totalsRowDxfId="2981">
      <totalsRowFormula>SUM(Table132562['# of people reached])</totalsRowFormula>
    </tableColumn>
    <tableColumn id="10" xr3:uid="{D381DD36-A5D7-45F4-9FBF-A1B8E3B2E65A}" name="# of participants" totalsRowFunction="custom" dataDxfId="2980" totalsRowDxfId="2979">
      <totalsRowFormula>SUM(Table132562['# of participants])</totalsRowFormula>
    </tableColumn>
    <tableColumn id="11" xr3:uid="{D255BC04-4EE2-4FA5-9F9D-C96917CDE134}" name="# of items handed out" totalsRowFunction="sum" dataDxfId="2978" totalsRowDxfId="2977"/>
    <tableColumn id="12" xr3:uid="{68F3A9B9-21CE-4E90-9C8D-7421BD61EC0F}" name="Reimbursement Amount Requested" totalsRowFunction="sum" dataDxfId="2976" totalsRowDxfId="2975" dataCellStyle="Currency"/>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2" xr:uid="{94CD9EC8-DAAC-498B-9FE5-4D4A13C963F2}" name="Table1326563" displayName="Table1326563" ref="A18:G29" totalsRowCount="1" headerRowDxfId="2974" dataDxfId="2973" tableBorderDxfId="2972" totalsRowBorderDxfId="2971">
  <autoFilter ref="A18:G28" xr:uid="{94CD9EC8-DAAC-498B-9FE5-4D4A13C963F2}"/>
  <tableColumns count="7">
    <tableColumn id="1" xr3:uid="{F5C29AEA-F93E-46BA-B85A-6BA92D24517E}" name="Activities completed (select from the dropdown list)" totalsRowDxfId="2970"/>
    <tableColumn id="7" xr3:uid="{BC8E377B-FAC9-4729-8D26-BA89DEEC4C5E}" name="Describe the activity. What was done? What was the topic? How does this support your strategy? What was the desired outcome of this activity? Please be as descriptive/detailed as possible." dataDxfId="2969" totalsRowDxfId="2968"/>
    <tableColumn id="3" xr3:uid="{6764692F-6A75-446C-A39E-394E042DF685}" name="# of hours" totalsRowFunction="custom" dataDxfId="2967" totalsRowDxfId="2966">
      <totalsRowFormula>SUM(Table1326563['# of hours])</totalsRowFormula>
    </tableColumn>
    <tableColumn id="9" xr3:uid="{FD244CA8-F993-4431-BDCE-717C54840F6A}" name="# of people reached" totalsRowFunction="custom" dataDxfId="2965" totalsRowDxfId="2964">
      <totalsRowFormula>SUM(Table1326563['# of people reached])</totalsRowFormula>
    </tableColumn>
    <tableColumn id="10" xr3:uid="{681C0B21-243D-45D4-9BDA-7BCD6BE6630A}" name="# of participants" totalsRowFunction="custom" dataDxfId="2963" totalsRowDxfId="2962">
      <totalsRowFormula>SUM(Table1326563['# of participants])</totalsRowFormula>
    </tableColumn>
    <tableColumn id="11" xr3:uid="{41F97D17-3687-4868-8B1F-DB87A6CF7D72}" name="# of items handed out" totalsRowFunction="sum" dataDxfId="2961" totalsRowDxfId="2960"/>
    <tableColumn id="12" xr3:uid="{8B5F227C-F840-4959-83D0-382BC607A0F4}" name="Reimbursement Amount Requested" totalsRowFunction="sum" dataDxfId="2959" totalsRowDxfId="2958" dataCellStyle="Currency" totalsRowCellStyle="Currency"/>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3" xr:uid="{67A55B1B-6271-430E-AACA-89E5253923AE}" name="Table13267564" displayName="Table13267564" ref="A35:G41" totalsRowCount="1" headerRowDxfId="2957" dataDxfId="2956" tableBorderDxfId="2955" totalsRowBorderDxfId="2954">
  <autoFilter ref="A35:G40" xr:uid="{67A55B1B-6271-430E-AACA-89E5253923AE}"/>
  <tableColumns count="7">
    <tableColumn id="1" xr3:uid="{594BCDE0-2A74-4AB1-A6F0-093DC1DF2222}" name="Activities completed (select from the dropdown list)" totalsRowDxfId="2953"/>
    <tableColumn id="7" xr3:uid="{F4D06692-7407-47CA-9B26-4763CDB893B9}" name="Describe the activity. What was done? What was the topic? How does this support your strategy? What was the desired outcome of this activity? Please be as descriptive/detailed as possible." dataDxfId="2952" totalsRowDxfId="2951"/>
    <tableColumn id="3" xr3:uid="{B056CB52-7D9C-47E3-AC40-60F02E09E3A2}" name="# of hours" totalsRowFunction="custom" dataDxfId="2950" totalsRowDxfId="2949">
      <totalsRowFormula>SUM(Table13267564['# of hours])</totalsRowFormula>
    </tableColumn>
    <tableColumn id="9" xr3:uid="{28F03B34-4FF4-446D-80E6-C7ABC8A6C01B}" name="# of people reached" totalsRowFunction="custom" dataDxfId="2948" totalsRowDxfId="2947">
      <totalsRowFormula>SUM(Table13267564['# of people reached])</totalsRowFormula>
    </tableColumn>
    <tableColumn id="10" xr3:uid="{F6079404-7BA0-4EE9-B647-65D75EA3901C}" name="# of participants" totalsRowFunction="custom" dataDxfId="2946" totalsRowDxfId="2945">
      <totalsRowFormula>SUM(Table13267564['# of participants])</totalsRowFormula>
    </tableColumn>
    <tableColumn id="11" xr3:uid="{8A28BA49-AF92-44B3-85E3-9B80229B03B5}" name="# of items handed out" totalsRowFunction="sum" dataDxfId="2944" totalsRowDxfId="2943"/>
    <tableColumn id="12" xr3:uid="{A5869EA4-7818-41C5-896C-2A0BCAE3D9EF}" name="Reimbursement Amount Requested" totalsRowFunction="sum" dataDxfId="2942" totalsRowDxfId="2941" dataCellStyle="Currency" totalsRowCellStyle="Currency"/>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4" xr:uid="{721D730E-45FA-42A6-BBE5-E9944FBEE4E4}" name="Table132678565" displayName="Table132678565" ref="A47:G53" totalsRowCount="1" headerRowDxfId="2940" dataDxfId="2939" tableBorderDxfId="2938" totalsRowBorderDxfId="2937">
  <autoFilter ref="A47:G52" xr:uid="{721D730E-45FA-42A6-BBE5-E9944FBEE4E4}"/>
  <tableColumns count="7">
    <tableColumn id="1" xr3:uid="{1F30F0F4-57AC-41B6-9B70-A9193B63C553}" name="Activities completed (select from the dropdown list)" totalsRowDxfId="2936"/>
    <tableColumn id="7" xr3:uid="{9D8A0D2C-242D-4F03-A4A1-C52227105577}" name="Describe the activity. What was done? What was the topic? How does this support your strategy? What was the desired outcome of this activity? Please be as descriptive/detailed as possible." dataDxfId="2935" totalsRowDxfId="2934"/>
    <tableColumn id="3" xr3:uid="{A6D07E7A-4D17-4D2C-A3C1-EE75A3958F95}" name="# of hours" totalsRowFunction="custom" dataDxfId="2933" totalsRowDxfId="2932">
      <totalsRowFormula>SUM(Table132678565['# of hours])</totalsRowFormula>
    </tableColumn>
    <tableColumn id="9" xr3:uid="{C6FDF8AA-3E11-4A3D-8740-BDC31773813F}" name="# of people reached" totalsRowFunction="custom" dataDxfId="2931" totalsRowDxfId="2930">
      <totalsRowFormula>SUM(Table132678565['# of people reached])</totalsRowFormula>
    </tableColumn>
    <tableColumn id="10" xr3:uid="{47E29ED8-88D2-4CD1-ACE1-99F2ACB0976E}" name="# of participants" totalsRowFunction="custom" dataDxfId="2929" totalsRowDxfId="2928">
      <totalsRowFormula>SUM(Table132678565['# of participants])</totalsRowFormula>
    </tableColumn>
    <tableColumn id="11" xr3:uid="{889B1768-9F90-408D-86DF-ACFF49080821}" name="# of items handed out" totalsRowFunction="sum" dataDxfId="2927" totalsRowDxfId="2926"/>
    <tableColumn id="12" xr3:uid="{D673019A-4563-40CF-A67D-E9C3AEAF78E4}" name="Reimbursement Amount Requested" totalsRowFunction="sum" dataDxfId="2925" totalsRowDxfId="2924" dataCellStyle="Currency"/>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5" xr:uid="{CD5AAA65-0C2C-4433-A736-2F70991520E2}" name="Table1326789566" displayName="Table1326789566" ref="A59:G62" totalsRowCount="1" headerRowDxfId="2923" dataDxfId="2922" tableBorderDxfId="2921" totalsRowBorderDxfId="2920">
  <autoFilter ref="A59:G61" xr:uid="{CD5AAA65-0C2C-4433-A736-2F70991520E2}"/>
  <tableColumns count="7">
    <tableColumn id="1" xr3:uid="{291267F5-B8F2-48AA-BF99-9130C250DD3F}" name="Activities completed (select from the dropdown list)" totalsRowDxfId="2919"/>
    <tableColumn id="7" xr3:uid="{F4328326-15D4-4403-8968-BA65DBA171C6}" name="Describe the activity. What was done? What was the topic? How does this support your strategy? What was the desired outcome of this activity? Please be as descriptive/detailed as possible." dataDxfId="2918" totalsRowDxfId="2917"/>
    <tableColumn id="3" xr3:uid="{0072BF84-4D5A-49B2-86BE-649D67E63D0F}" name="# of hours" totalsRowFunction="custom" dataDxfId="2916" totalsRowDxfId="2915">
      <totalsRowFormula>SUM(Table1326789566['# of hours])</totalsRowFormula>
    </tableColumn>
    <tableColumn id="9" xr3:uid="{BD283B78-EEC3-405E-9EE9-A9DA3DEFA275}" name="# of people reached" totalsRowFunction="custom" dataDxfId="2914" totalsRowDxfId="2913">
      <totalsRowFormula>SUM(Table1326789566['# of people reached])</totalsRowFormula>
    </tableColumn>
    <tableColumn id="10" xr3:uid="{F0F06ADF-9E82-435D-AC07-C5EB1DD2D354}" name="# of participants" totalsRowFunction="custom" dataDxfId="2912" totalsRowDxfId="2911">
      <totalsRowFormula>SUM(Table1326789566['# of participants])</totalsRowFormula>
    </tableColumn>
    <tableColumn id="11" xr3:uid="{32B8DA62-C634-4DCD-A47E-BC809A9658FD}" name="# of items handed out" totalsRowFunction="sum" dataDxfId="2910" totalsRowDxfId="2909"/>
    <tableColumn id="12" xr3:uid="{B2B9CD69-C3C8-48A0-BCE1-8D489B2F3F94}" name="Reimbursement Amount Requested" totalsRowFunction="sum" dataDxfId="2908" totalsRowDxfId="2907" dataCellStyle="Currency"/>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6" xr:uid="{1C36F1D0-3ABB-4863-AA90-E96B60D3CB0D}" name="Table13267810567" displayName="Table13267810567" ref="A68:G74" totalsRowCount="1" headerRowDxfId="2906" dataDxfId="2905" tableBorderDxfId="2904" totalsRowBorderDxfId="2903">
  <autoFilter ref="A68:G73" xr:uid="{1C36F1D0-3ABB-4863-AA90-E96B60D3CB0D}"/>
  <tableColumns count="7">
    <tableColumn id="1" xr3:uid="{1C3D7C70-50EC-4D34-845E-5428220395DB}" name="Activities completed (select from the dropdown list)" totalsRowDxfId="2902"/>
    <tableColumn id="7" xr3:uid="{1488FA51-6EE2-4F4C-A762-29D530D6BD04}" name="Describe the activity. What was done? What was the topic? How does this support your strategy? What was the desired outcome of this activity? Please be as descriptive/detailed as possible." dataDxfId="2901" totalsRowDxfId="2900"/>
    <tableColumn id="3" xr3:uid="{2986E956-0196-48AC-806E-2BBAB55E87C2}" name="# of hours" totalsRowFunction="custom" dataDxfId="2899" totalsRowDxfId="2898">
      <totalsRowFormula>SUM(Table13267810567['# of hours])</totalsRowFormula>
    </tableColumn>
    <tableColumn id="9" xr3:uid="{E6AECCAB-F4A4-4AA8-83EE-FC2CAA1FE819}" name="# of people reached" totalsRowFunction="custom" dataDxfId="2897" totalsRowDxfId="2896">
      <totalsRowFormula>SUM(Table13267810567['# of people reached])</totalsRowFormula>
    </tableColumn>
    <tableColumn id="10" xr3:uid="{827901DB-551D-47BB-BA50-8E85C3E97829}" name="# of participants" totalsRowFunction="custom" dataDxfId="2895" totalsRowDxfId="2894">
      <totalsRowFormula>SUM(Table13267810567['# of participants])</totalsRowFormula>
    </tableColumn>
    <tableColumn id="11" xr3:uid="{0F6C588B-10CE-46A5-A0C0-17B057F713B6}" name="# of items handed out" totalsRowFunction="sum" dataDxfId="2893" totalsRowDxfId="2892"/>
    <tableColumn id="12" xr3:uid="{C2A13AE6-167F-486F-A225-79CCFFCD7B55}" name="Reimbursement Amount Requested" totalsRowFunction="sum" dataDxfId="2891" totalsRowDxfId="2890" dataCellStyle="Currency" totalsRowCellStyle="Currency"/>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7" xr:uid="{0F8FEA96-C630-48AC-947D-07419D8BD606}" name="Table1326781011568" displayName="Table1326781011568" ref="A80:G86" totalsRowCount="1" headerRowDxfId="2889" dataDxfId="2888" tableBorderDxfId="2887" totalsRowBorderDxfId="2886">
  <autoFilter ref="A80:G85" xr:uid="{0F8FEA96-C630-48AC-947D-07419D8BD606}"/>
  <tableColumns count="7">
    <tableColumn id="1" xr3:uid="{A5B05416-A006-4205-ABBC-F6FF3CEC895B}" name="Activities completed (select from the dropdown list)" totalsRowDxfId="2885"/>
    <tableColumn id="7" xr3:uid="{524F630C-CF16-4B5B-AE29-6847F57B662F}" name="Describe the activity. What was done? What was the topic? How does this support your strategy? What was the desired outcome of this activity? Please be as descriptive/detailed as possible." dataDxfId="2884" totalsRowDxfId="2883"/>
    <tableColumn id="3" xr3:uid="{92DE87F5-FB16-4E0A-AEC8-F5BA419A9D4F}" name="# of hours" totalsRowFunction="custom" dataDxfId="2882" totalsRowDxfId="2881">
      <totalsRowFormula>SUM(Table1326781011568['# of hours])</totalsRowFormula>
    </tableColumn>
    <tableColumn id="9" xr3:uid="{884884BD-2961-45BE-B5CD-BD1F27CAC6B4}" name="# of people reached" totalsRowFunction="custom" dataDxfId="2880" totalsRowDxfId="2879">
      <totalsRowFormula>SUM(Table1326781011568['# of people reached])</totalsRowFormula>
    </tableColumn>
    <tableColumn id="10" xr3:uid="{2F04660C-0EBD-408C-AD10-9F00A884B4AB}" name="# of participants" totalsRowFunction="custom" dataDxfId="2878" totalsRowDxfId="2877">
      <totalsRowFormula>SUM(Table1326781011568['# of participants])</totalsRowFormula>
    </tableColumn>
    <tableColumn id="11" xr3:uid="{2199C31C-295F-4361-8066-882A0C13BC21}" name="# of items handed out" totalsRowFunction="sum" dataDxfId="2876" totalsRowDxfId="2875"/>
    <tableColumn id="12" xr3:uid="{6F8641E0-A7FC-42C0-B3F6-814144ACD915}" name="Reimbursement Amount Requested" totalsRowFunction="sum" dataDxfId="2874" totalsRowDxfId="2873" dataCellStyle="Currency" totalsRowCellStyle="Currency"/>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8" xr:uid="{11573478-FBF8-44A0-AFBB-77786E7DC451}" name="Table132678101112569" displayName="Table132678101112569" ref="A92:G98" totalsRowCount="1" headerRowDxfId="2872" dataDxfId="2871" tableBorderDxfId="2870" totalsRowBorderDxfId="2869">
  <autoFilter ref="A92:G97" xr:uid="{11573478-FBF8-44A0-AFBB-77786E7DC451}"/>
  <tableColumns count="7">
    <tableColumn id="1" xr3:uid="{C96C711F-BEC1-4E64-A104-E3015A3F2ADA}" name="Activities completed (select from the dropdown list)" totalsRowDxfId="2868"/>
    <tableColumn id="7" xr3:uid="{08DA067F-CE8A-4257-B7DD-B644E8664A44}" name="Describe the activity. What was done? What was the topic? How does this support your strategy? What was the desired outcome of this activity? Please be as descriptive/detailed as possible." dataDxfId="2867" totalsRowDxfId="2866"/>
    <tableColumn id="3" xr3:uid="{0D99A546-ED97-43AF-A31A-E51A2A7C40BD}" name="# of hours" totalsRowFunction="custom" dataDxfId="2865" totalsRowDxfId="2864">
      <totalsRowFormula>SUM(Table132678101112569['# of hours])</totalsRowFormula>
    </tableColumn>
    <tableColumn id="9" xr3:uid="{310DB8F4-07BE-45F3-8731-11DE05F3D77A}" name="# of people reached" totalsRowFunction="custom" dataDxfId="2863" totalsRowDxfId="2862">
      <totalsRowFormula>SUM(Table132678101112569['# of people reached])</totalsRowFormula>
    </tableColumn>
    <tableColumn id="10" xr3:uid="{2CF8D476-730E-4D5C-85E3-903E82D3AC39}" name="# of participants" totalsRowFunction="custom" dataDxfId="2861" totalsRowDxfId="2860">
      <totalsRowFormula>SUM(Table132678101112569['# of participants])</totalsRowFormula>
    </tableColumn>
    <tableColumn id="11" xr3:uid="{79BB430D-13A0-4472-A934-A18B02E21E86}" name="# of items handed out" totalsRowFunction="sum" dataDxfId="2859" totalsRowDxfId="2858"/>
    <tableColumn id="12" xr3:uid="{466A1E50-C04C-4394-BC68-D477F7CF5372}" name="Reimbursement Amount Requested" totalsRowFunction="sum" dataDxfId="2857" totalsRowDxfId="2856" dataCellStyle="Currency"/>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9" xr:uid="{27305E7A-E94C-4D1B-A25B-5A2B64209E83}" name="Table132570" displayName="Table132570" ref="A6:G12" totalsRowCount="1" headerRowDxfId="2855" dataDxfId="2854" tableBorderDxfId="2853" totalsRowBorderDxfId="2852">
  <autoFilter ref="A6:G11" xr:uid="{27305E7A-E94C-4D1B-A25B-5A2B64209E83}"/>
  <tableColumns count="7">
    <tableColumn id="1" xr3:uid="{30B11E11-8590-4F81-A172-34DCA6BF64BB}" name="Activities completed (select from the dropdown list)" totalsRowDxfId="2851"/>
    <tableColumn id="7" xr3:uid="{0644C9BE-7908-4958-A615-F8FC23F06514}" name="Describe the activity. What was done? What was the topic? How does this support your strategy? What was the desired outcome of this activity? Please be as descriptive/detailed as possible." dataDxfId="2850" totalsRowDxfId="2849"/>
    <tableColumn id="3" xr3:uid="{BD1AE10D-D71E-49A7-A7CE-9F76DCC35F56}" name="# of hours" totalsRowFunction="custom" dataDxfId="2848" totalsRowDxfId="2847">
      <totalsRowFormula>SUM(Table132570['# of hours])</totalsRowFormula>
    </tableColumn>
    <tableColumn id="9" xr3:uid="{1B1A6A43-162D-4024-B269-A62D9069F870}" name="# of people reached" totalsRowFunction="custom" dataDxfId="2846" totalsRowDxfId="2845">
      <totalsRowFormula>SUM(Table132570['# of people reached])</totalsRowFormula>
    </tableColumn>
    <tableColumn id="10" xr3:uid="{88871667-17A7-470E-9386-9E9B6C1CAFC2}" name="# of participants" totalsRowFunction="custom" dataDxfId="2844" totalsRowDxfId="2843">
      <totalsRowFormula>SUM(Table132570['# of participants])</totalsRowFormula>
    </tableColumn>
    <tableColumn id="11" xr3:uid="{0C21DC20-891F-41DD-B4CD-4F26922BA823}" name="# of items handed out" totalsRowFunction="sum" dataDxfId="2842" totalsRowDxfId="2841"/>
    <tableColumn id="12" xr3:uid="{040B78B1-8EA7-4CD5-9A57-4BF25DEEFE61}" name="Reimbursement Amount Requested" totalsRowFunction="sum" dataDxfId="2840" totalsRowDxfId="2839" dataCellStyle="Currency"/>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0" xr:uid="{EC9379DB-6C7F-4582-BF3E-EB0361DD545C}" name="Table1326571" displayName="Table1326571" ref="A18:G29" totalsRowCount="1" headerRowDxfId="2838" dataDxfId="2837" tableBorderDxfId="2836" totalsRowBorderDxfId="2835">
  <autoFilter ref="A18:G28" xr:uid="{EC9379DB-6C7F-4582-BF3E-EB0361DD545C}"/>
  <tableColumns count="7">
    <tableColumn id="1" xr3:uid="{8407D0D8-FDB6-4A26-BAC5-F59C8EED5F52}" name="Activities completed (select from the dropdown list)" totalsRowDxfId="2834"/>
    <tableColumn id="7" xr3:uid="{25AB37E0-2537-48ED-9530-72E9E4F8758F}" name="Describe the activity. What was done? What was the topic? How does this support your strategy? What was the desired outcome of this activity? Please be as descriptive/detailed as possible." dataDxfId="2833" totalsRowDxfId="2832"/>
    <tableColumn id="3" xr3:uid="{B70D2B12-48A1-4D3D-98E6-3A492E70C6C9}" name="# of hours" totalsRowFunction="custom" dataDxfId="2831" totalsRowDxfId="2830">
      <totalsRowFormula>SUM(Table1326571['# of hours])</totalsRowFormula>
    </tableColumn>
    <tableColumn id="9" xr3:uid="{EA45E895-D59A-4A1F-81A1-63D0F34CB8FB}" name="# of people reached" totalsRowFunction="custom" dataDxfId="2829" totalsRowDxfId="2828">
      <totalsRowFormula>SUM(Table1326571['# of people reached])</totalsRowFormula>
    </tableColumn>
    <tableColumn id="10" xr3:uid="{01D9C5F7-4CF3-4F6F-B20B-1233F03FE893}" name="# of participants" totalsRowFunction="custom" dataDxfId="2827" totalsRowDxfId="2826">
      <totalsRowFormula>SUM(Table1326571['# of participants])</totalsRowFormula>
    </tableColumn>
    <tableColumn id="11" xr3:uid="{658412A7-DFCC-4E20-B347-652D74C7FCBB}" name="# of items handed out" totalsRowFunction="sum" dataDxfId="2825" totalsRowDxfId="2824"/>
    <tableColumn id="12" xr3:uid="{35F1D3CC-BC52-4E21-A20C-08D1446CA514}" name="Reimbursement Amount Requested" totalsRowFunction="sum" dataDxfId="2823" totalsRowDxfId="2822" dataCellStyle="Currency" totalsRowCellStyle="Currency"/>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1" xr:uid="{C263D315-7644-432E-9718-254B5F97C8E7}" name="Table13267572" displayName="Table13267572" ref="A35:G41" totalsRowCount="1" headerRowDxfId="2821" dataDxfId="2820" tableBorderDxfId="2819" totalsRowBorderDxfId="2818">
  <autoFilter ref="A35:G40" xr:uid="{C263D315-7644-432E-9718-254B5F97C8E7}"/>
  <tableColumns count="7">
    <tableColumn id="1" xr3:uid="{F95448DB-B294-44EC-865A-886BBB9C6AA6}" name="Activities completed (select from the dropdown list)" totalsRowDxfId="2817"/>
    <tableColumn id="7" xr3:uid="{D1B279CB-B874-4152-8107-17EEB8DB33A1}" name="Describe the activity. What was done? What was the topic? How does this support your strategy? What was the desired outcome of this activity? Please be as descriptive/detailed as possible." dataDxfId="2816" totalsRowDxfId="2815"/>
    <tableColumn id="3" xr3:uid="{EB296A15-EC48-45CD-929E-8E5DE872932C}" name="# of hours" totalsRowFunction="custom" dataDxfId="2814" totalsRowDxfId="2813">
      <totalsRowFormula>SUM(Table13267572['# of hours])</totalsRowFormula>
    </tableColumn>
    <tableColumn id="9" xr3:uid="{2417387A-A6A6-462A-B945-EF51A3AA128B}" name="# of people reached" totalsRowFunction="custom" dataDxfId="2812" totalsRowDxfId="2811">
      <totalsRowFormula>SUM(Table13267572['# of people reached])</totalsRowFormula>
    </tableColumn>
    <tableColumn id="10" xr3:uid="{AA10541F-A000-435A-ACDF-E8CFBE5DB75E}" name="# of participants" totalsRowFunction="custom" dataDxfId="2810" totalsRowDxfId="2809">
      <totalsRowFormula>SUM(Table13267572['# of participants])</totalsRowFormula>
    </tableColumn>
    <tableColumn id="11" xr3:uid="{3C377786-5AA8-4BDD-8772-5637CDFFF482}" name="# of items handed out" totalsRowFunction="sum" dataDxfId="2808" totalsRowDxfId="2807"/>
    <tableColumn id="12" xr3:uid="{E7F2179A-0CA9-4F2A-BC48-A447EFD41CBF}" name="Reimbursement Amount Requested" totalsRowFunction="sum" dataDxfId="2806" totalsRowDxfId="2805" dataCellStyle="Currency" totalsRowCellStyle="Currency"/>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2" xr:uid="{24C77D5A-DE9A-441A-ABB3-C92BA37597E0}" name="Table132678573" displayName="Table132678573" ref="A47:G53" totalsRowCount="1" headerRowDxfId="2804" dataDxfId="2803" tableBorderDxfId="2802" totalsRowBorderDxfId="2801">
  <autoFilter ref="A47:G52" xr:uid="{24C77D5A-DE9A-441A-ABB3-C92BA37597E0}"/>
  <tableColumns count="7">
    <tableColumn id="1" xr3:uid="{8119A06C-015E-4517-A58B-39AF6A4EC452}" name="Activities completed (select from the dropdown list)" totalsRowDxfId="2800"/>
    <tableColumn id="7" xr3:uid="{63E94004-5B17-4BA6-BCC1-BE2509BE78E6}" name="Describe the activity. What was done? What was the topic? How does this support your strategy? What was the desired outcome of this activity? Please be as descriptive/detailed as possible." dataDxfId="2799" totalsRowDxfId="2798"/>
    <tableColumn id="3" xr3:uid="{B4E4E036-F109-4D4C-8C0C-D9A0FC131822}" name="# of hours" totalsRowFunction="custom" dataDxfId="2797" totalsRowDxfId="2796">
      <totalsRowFormula>SUM(Table132678573['# of hours])</totalsRowFormula>
    </tableColumn>
    <tableColumn id="9" xr3:uid="{6F3947AD-0D85-412E-B321-BC2796F84EF6}" name="# of people reached" totalsRowFunction="custom" dataDxfId="2795" totalsRowDxfId="2794">
      <totalsRowFormula>SUM(Table132678573['# of people reached])</totalsRowFormula>
    </tableColumn>
    <tableColumn id="10" xr3:uid="{21DCE395-9BD6-41A0-B575-C87AF27FC705}" name="# of participants" totalsRowFunction="custom" dataDxfId="2793" totalsRowDxfId="2792">
      <totalsRowFormula>SUM(Table132678573['# of participants])</totalsRowFormula>
    </tableColumn>
    <tableColumn id="11" xr3:uid="{747DC9E8-7C36-4A0F-BB34-CA3B36CBAC6E}" name="# of items handed out" totalsRowFunction="sum" dataDxfId="2791" totalsRowDxfId="2790"/>
    <tableColumn id="12" xr3:uid="{236B947C-E38C-40E3-8057-BB0EFF10FF73}" name="Reimbursement Amount Requested" totalsRowFunction="sum" dataDxfId="2789" totalsRowDxfId="2788" dataCellStyle="Currency"/>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3" xr:uid="{5F48EA08-1639-4934-B356-85CE500491F0}" name="Table1326789574" displayName="Table1326789574" ref="A59:G62" totalsRowCount="1" headerRowDxfId="2787" dataDxfId="2786" tableBorderDxfId="2785" totalsRowBorderDxfId="2784">
  <autoFilter ref="A59:G61" xr:uid="{5F48EA08-1639-4934-B356-85CE500491F0}"/>
  <tableColumns count="7">
    <tableColumn id="1" xr3:uid="{FCBF32F9-4E8F-4D60-B325-2F5FBC8DE81B}" name="Activities completed (select from the dropdown list)" totalsRowDxfId="2783"/>
    <tableColumn id="7" xr3:uid="{D6F9B92D-DB09-42F6-A9B9-1CF713986FC3}" name="Describe the activity. What was done? What was the topic? How does this support your strategy? What was the desired outcome of this activity? Please be as descriptive/detailed as possible." dataDxfId="2782" totalsRowDxfId="2781"/>
    <tableColumn id="3" xr3:uid="{CFBBBF84-B368-44B2-BFAA-63F7A28DDB82}" name="# of hours" totalsRowFunction="custom" dataDxfId="2780" totalsRowDxfId="2779">
      <totalsRowFormula>SUM(Table1326789574['# of hours])</totalsRowFormula>
    </tableColumn>
    <tableColumn id="9" xr3:uid="{B073CE8F-CFED-4FE5-9FDD-8AA1784714D7}" name="# of people reached" totalsRowFunction="custom" dataDxfId="2778" totalsRowDxfId="2777">
      <totalsRowFormula>SUM(Table1326789574['# of people reached])</totalsRowFormula>
    </tableColumn>
    <tableColumn id="10" xr3:uid="{BA19581B-E538-4A6C-B3CA-D06584513F03}" name="# of participants" totalsRowFunction="custom" dataDxfId="2776" totalsRowDxfId="2775">
      <totalsRowFormula>SUM(Table1326789574['# of participants])</totalsRowFormula>
    </tableColumn>
    <tableColumn id="11" xr3:uid="{13AA74BF-F50E-4838-8DCA-492E505401C2}" name="# of items handed out" totalsRowFunction="sum" dataDxfId="2774" totalsRowDxfId="2773"/>
    <tableColumn id="12" xr3:uid="{EA81C66E-99B7-4884-A0FE-5D439478043D}" name="Reimbursement Amount Requested" totalsRowFunction="sum" dataDxfId="2772" totalsRowDxfId="2771" dataCellStyle="Currency"/>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4" xr:uid="{C8241976-2534-458F-AE6A-A91EF3A197E0}" name="Table13267810575" displayName="Table13267810575" ref="A68:G74" totalsRowCount="1" headerRowDxfId="2770" dataDxfId="2769" tableBorderDxfId="2768" totalsRowBorderDxfId="2767">
  <autoFilter ref="A68:G73" xr:uid="{C8241976-2534-458F-AE6A-A91EF3A197E0}"/>
  <tableColumns count="7">
    <tableColumn id="1" xr3:uid="{9B07A09C-C4CF-46C8-9240-517DC2488E3C}" name="Activities completed (select from the dropdown list)" totalsRowDxfId="2766"/>
    <tableColumn id="7" xr3:uid="{06C4E38A-3169-49B5-879B-8629B6D5865A}" name="Describe the activity. What was done? What was the topic? How does this support your strategy? What was the desired outcome of this activity? Please be as descriptive/detailed as possible." dataDxfId="2765" totalsRowDxfId="2764"/>
    <tableColumn id="3" xr3:uid="{8616AD4F-A813-4A52-A61B-4FE3DC85DDF5}" name="# of hours" totalsRowFunction="custom" dataDxfId="2763" totalsRowDxfId="2762">
      <totalsRowFormula>SUM(Table13267810575['# of hours])</totalsRowFormula>
    </tableColumn>
    <tableColumn id="9" xr3:uid="{ED99BF63-A99E-4B78-B1CB-2D094051AA1E}" name="# of people reached" totalsRowFunction="custom" dataDxfId="2761" totalsRowDxfId="2760">
      <totalsRowFormula>SUM(Table13267810575['# of people reached])</totalsRowFormula>
    </tableColumn>
    <tableColumn id="10" xr3:uid="{2AEAC5AB-EA98-4919-9620-9E32BEC5782D}" name="# of participants" totalsRowFunction="custom" dataDxfId="2759" totalsRowDxfId="2758">
      <totalsRowFormula>SUM(Table13267810575['# of participants])</totalsRowFormula>
    </tableColumn>
    <tableColumn id="11" xr3:uid="{F8FE5500-D8E8-4D73-AA17-E6A194D82649}" name="# of items handed out" totalsRowFunction="sum" dataDxfId="2757" totalsRowDxfId="2756"/>
    <tableColumn id="12" xr3:uid="{EAAE8AEE-F4A1-4E37-AEA1-C0FCD2518AAB}" name="Reimbursement Amount Requested" totalsRowFunction="sum" dataDxfId="2755" totalsRowDxfId="2754" dataCellStyle="Currency" totalsRowCellStyle="Currency"/>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5" xr:uid="{06F7E7C5-5919-404B-BFFD-5A2F2BBAA099}" name="Table1326781011576" displayName="Table1326781011576" ref="A80:G86" totalsRowCount="1" headerRowDxfId="2753" dataDxfId="2752" tableBorderDxfId="2751" totalsRowBorderDxfId="2750">
  <autoFilter ref="A80:G85" xr:uid="{06F7E7C5-5919-404B-BFFD-5A2F2BBAA099}"/>
  <tableColumns count="7">
    <tableColumn id="1" xr3:uid="{72684457-1955-417B-A3D9-FC5975E2E847}" name="Activities completed (select from the dropdown list)" totalsRowDxfId="2749"/>
    <tableColumn id="7" xr3:uid="{368D0FE0-5EBA-4C3C-86AE-4EC4AAAFA360}" name="Describe the activity. What was done? What was the topic? How does this support your strategy? What was the desired outcome of this activity? Please be as descriptive/detailed as possible." dataDxfId="2748" totalsRowDxfId="2747"/>
    <tableColumn id="3" xr3:uid="{4BCEB962-73E5-4268-AD22-478AEE69B736}" name="# of hours" totalsRowFunction="custom" dataDxfId="2746" totalsRowDxfId="2745">
      <totalsRowFormula>SUM(Table1326781011576['# of hours])</totalsRowFormula>
    </tableColumn>
    <tableColumn id="9" xr3:uid="{F004F65B-E6B7-403D-98CF-98C07AE1E197}" name="# of people reached" totalsRowFunction="custom" dataDxfId="2744" totalsRowDxfId="2743">
      <totalsRowFormula>SUM(Table1326781011576['# of people reached])</totalsRowFormula>
    </tableColumn>
    <tableColumn id="10" xr3:uid="{A832862A-55B7-436E-A5BE-DD94344C1834}" name="# of participants" totalsRowFunction="custom" dataDxfId="2742" totalsRowDxfId="2741">
      <totalsRowFormula>SUM(Table1326781011576['# of participants])</totalsRowFormula>
    </tableColumn>
    <tableColumn id="11" xr3:uid="{CB19ECD6-8FCB-453D-8ADC-D16EFB1A279F}" name="# of items handed out" totalsRowFunction="sum" dataDxfId="2740" totalsRowDxfId="2739"/>
    <tableColumn id="12" xr3:uid="{C7C8BA8D-287F-4359-8E2E-63354422DD5E}" name="Reimbursement Amount Requested" totalsRowFunction="sum" dataDxfId="2738" totalsRowDxfId="2737" dataCellStyle="Currency" totalsRowCellStyle="Currency"/>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6" xr:uid="{6EBECB54-F882-49D3-BC91-223FE8A3A93B}" name="Table132678101112577" displayName="Table132678101112577" ref="A92:G98" totalsRowCount="1" headerRowDxfId="2736" dataDxfId="2735" tableBorderDxfId="2734" totalsRowBorderDxfId="2733">
  <autoFilter ref="A92:G97" xr:uid="{6EBECB54-F882-49D3-BC91-223FE8A3A93B}"/>
  <tableColumns count="7">
    <tableColumn id="1" xr3:uid="{9D5E470C-76B3-4A09-992D-C6FD4E31AF2F}" name="Activities completed (select from the dropdown list)" totalsRowDxfId="2732"/>
    <tableColumn id="7" xr3:uid="{52B6D65E-649B-428D-82FF-CD1616AA0270}" name="Describe the activity. What was done? What was the topic? How does this support your strategy? What was the desired outcome of this activity? Please be as descriptive/detailed as possible." dataDxfId="2731" totalsRowDxfId="2730"/>
    <tableColumn id="3" xr3:uid="{EF869E3B-CF3D-4F08-91CD-0B55157A954C}" name="# of hours" totalsRowFunction="custom" dataDxfId="2729" totalsRowDxfId="2728">
      <totalsRowFormula>SUM(Table132678101112577['# of hours])</totalsRowFormula>
    </tableColumn>
    <tableColumn id="9" xr3:uid="{A7192C29-033C-40B0-B34C-45F2121714D5}" name="# of people reached" totalsRowFunction="custom" dataDxfId="2727" totalsRowDxfId="2726">
      <totalsRowFormula>SUM(Table132678101112577['# of people reached])</totalsRowFormula>
    </tableColumn>
    <tableColumn id="10" xr3:uid="{AD4543CD-A8EF-4A8E-8DC4-3B3402386685}" name="# of participants" totalsRowFunction="custom" dataDxfId="2725" totalsRowDxfId="2724">
      <totalsRowFormula>SUM(Table132678101112577['# of participants])</totalsRowFormula>
    </tableColumn>
    <tableColumn id="11" xr3:uid="{D46FAB4D-6A1E-4080-B1AE-E5602E62858C}" name="# of items handed out" totalsRowFunction="sum" dataDxfId="2723" totalsRowDxfId="2722"/>
    <tableColumn id="12" xr3:uid="{FDA56C9A-96E7-4223-8B3B-EA178FA41A24}" name="Reimbursement Amount Requested" totalsRowFunction="sum" dataDxfId="2721" totalsRowDxfId="2720" dataCellStyle="Currency"/>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7" xr:uid="{91707304-C266-4FEE-80DC-E55274D1934B}" name="Table132578" displayName="Table132578" ref="A6:G12" totalsRowCount="1" headerRowDxfId="2719" dataDxfId="2718" tableBorderDxfId="2717" totalsRowBorderDxfId="2716">
  <autoFilter ref="A6:G11" xr:uid="{91707304-C266-4FEE-80DC-E55274D1934B}"/>
  <tableColumns count="7">
    <tableColumn id="1" xr3:uid="{407FE592-1195-44E3-BE5B-04C172F524C3}" name="Activities completed (select from the dropdown list)" totalsRowDxfId="2715"/>
    <tableColumn id="7" xr3:uid="{0626C606-923A-4DDF-8F13-8582CB46C7FE}" name="Describe the activity. What was done? What was the topic? How does this support your strategy? What was the desired outcome of this activity? Please be as descriptive/detailed as possible." dataDxfId="2714" totalsRowDxfId="2713"/>
    <tableColumn id="3" xr3:uid="{CF470E45-4E16-483D-91D1-0B1832CAF8B4}" name="# of hours" totalsRowFunction="custom" dataDxfId="2712" totalsRowDxfId="2711">
      <totalsRowFormula>SUM(Table132578['# of hours])</totalsRowFormula>
    </tableColumn>
    <tableColumn id="9" xr3:uid="{69EE6A38-68A2-4FFB-A83C-81C5E5C3EAB2}" name="# of people reached" totalsRowFunction="custom" dataDxfId="2710" totalsRowDxfId="2709">
      <totalsRowFormula>SUM(Table132578['# of people reached])</totalsRowFormula>
    </tableColumn>
    <tableColumn id="10" xr3:uid="{4FEF57BD-30FE-4F84-A2C9-4D69FB0441EC}" name="# of participants" totalsRowFunction="custom" dataDxfId="2708" totalsRowDxfId="2707">
      <totalsRowFormula>SUM(Table132578['# of participants])</totalsRowFormula>
    </tableColumn>
    <tableColumn id="11" xr3:uid="{54F15612-B1C5-42EF-93F9-5ED916C54C84}" name="# of items handed out" totalsRowFunction="sum" dataDxfId="2706" totalsRowDxfId="2705"/>
    <tableColumn id="12" xr3:uid="{E300A8AD-E41C-4BFB-8DB4-C26E57CD0D6A}" name="Reimbursement Amount Requested" totalsRowFunction="sum" dataDxfId="2704" totalsRowDxfId="2703" dataCellStyle="Currency"/>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8" xr:uid="{23736D1F-A4E5-4780-8882-DB916458673F}" name="Table1326579" displayName="Table1326579" ref="A18:G29" totalsRowCount="1" headerRowDxfId="2702" dataDxfId="2701" tableBorderDxfId="2700" totalsRowBorderDxfId="2699">
  <autoFilter ref="A18:G28" xr:uid="{23736D1F-A4E5-4780-8882-DB916458673F}"/>
  <tableColumns count="7">
    <tableColumn id="1" xr3:uid="{F3368AF2-C835-42E5-A063-A006E054E645}" name="Activities completed (select from the dropdown list)" totalsRowDxfId="2698"/>
    <tableColumn id="7" xr3:uid="{D67CB660-60BF-4225-9B15-9610C82F93BE}" name="Describe the activity. What was done? What was the topic? How does this support your strategy? What was the desired outcome of this activity? Please be as descriptive/detailed as possible." dataDxfId="2697" totalsRowDxfId="2696"/>
    <tableColumn id="3" xr3:uid="{2077BEDB-EFC5-4837-BE72-A9FDE2B7A651}" name="# of hours" totalsRowFunction="custom" dataDxfId="2695" totalsRowDxfId="2694">
      <totalsRowFormula>SUM(Table1326579['# of hours])</totalsRowFormula>
    </tableColumn>
    <tableColumn id="9" xr3:uid="{F192C289-97FA-4238-BF1B-2C246EA7FE34}" name="# of people reached" totalsRowFunction="custom" dataDxfId="2693" totalsRowDxfId="2692">
      <totalsRowFormula>SUM(Table1326579['# of people reached])</totalsRowFormula>
    </tableColumn>
    <tableColumn id="10" xr3:uid="{74214CCE-FABC-4230-8121-E3F902DF7F61}" name="# of participants" totalsRowFunction="custom" dataDxfId="2691" totalsRowDxfId="2690">
      <totalsRowFormula>SUM(Table1326579['# of participants])</totalsRowFormula>
    </tableColumn>
    <tableColumn id="11" xr3:uid="{B584ECC3-70F4-48F9-B526-8D7B514553F1}" name="# of items handed out" totalsRowFunction="sum" dataDxfId="2689" totalsRowDxfId="2688"/>
    <tableColumn id="12" xr3:uid="{3B7E3525-F24E-4D55-AEC8-614DCED306F4}" name="Reimbursement Amount Requested" totalsRowFunction="sum" dataDxfId="2687" totalsRowDxfId="2686" dataCellStyle="Currency" totalsRowCellStyle="Currency"/>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9" xr:uid="{1146BBCF-606C-4137-964B-44A267003B2D}" name="Table13267580" displayName="Table13267580" ref="A35:G41" totalsRowCount="1" headerRowDxfId="2685" dataDxfId="2684" tableBorderDxfId="2683" totalsRowBorderDxfId="2682">
  <autoFilter ref="A35:G40" xr:uid="{1146BBCF-606C-4137-964B-44A267003B2D}"/>
  <tableColumns count="7">
    <tableColumn id="1" xr3:uid="{DB436277-ABF6-4984-9F21-DE383548722E}" name="Activities completed (select from the dropdown list)" totalsRowDxfId="2681"/>
    <tableColumn id="7" xr3:uid="{FFE57936-8B9D-4B23-B952-1DF12C9DA50B}" name="Describe the activity. What was done? What was the topic? How does this support your strategy? What was the desired outcome of this activity? Please be as descriptive/detailed as possible." dataDxfId="2680" totalsRowDxfId="2679"/>
    <tableColumn id="3" xr3:uid="{A24B718F-FBC7-4F1D-8F1B-9C128DFF127F}" name="# of hours" totalsRowFunction="custom" dataDxfId="2678" totalsRowDxfId="2677">
      <totalsRowFormula>SUM(Table13267580['# of hours])</totalsRowFormula>
    </tableColumn>
    <tableColumn id="9" xr3:uid="{82006175-2343-422D-AC48-2C16921BA993}" name="# of people reached" totalsRowFunction="custom" dataDxfId="2676" totalsRowDxfId="2675">
      <totalsRowFormula>SUM(Table13267580['# of people reached])</totalsRowFormula>
    </tableColumn>
    <tableColumn id="10" xr3:uid="{3F4FC904-B0D4-41FA-9D0A-4421CDD513A1}" name="# of participants" totalsRowFunction="custom" dataDxfId="2674" totalsRowDxfId="2673">
      <totalsRowFormula>SUM(Table13267580['# of participants])</totalsRowFormula>
    </tableColumn>
    <tableColumn id="11" xr3:uid="{419BAEED-7B6A-4EB5-B209-1A3BC9FD6B3E}" name="# of items handed out" totalsRowFunction="sum" dataDxfId="2672" totalsRowDxfId="2671"/>
    <tableColumn id="12" xr3:uid="{F82FA965-0072-4D53-8285-D557AEF5AD98}" name="Reimbursement Amount Requested" totalsRowFunction="sum" dataDxfId="2670" totalsRowDxfId="2669" dataCellStyle="Currency" totalsRowCellStyle="Currency"/>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0" xr:uid="{D70A50C5-CFE2-4CDF-83FA-63BDD6D12BB2}" name="Table132678581" displayName="Table132678581" ref="A47:G53" totalsRowCount="1" headerRowDxfId="2668" dataDxfId="2667" tableBorderDxfId="2666" totalsRowBorderDxfId="2665">
  <autoFilter ref="A47:G52" xr:uid="{D70A50C5-CFE2-4CDF-83FA-63BDD6D12BB2}"/>
  <tableColumns count="7">
    <tableColumn id="1" xr3:uid="{E542F54D-797B-4B35-A8A9-FEE2C9EB4E59}" name="Activities completed (select from the dropdown list)" totalsRowDxfId="2664"/>
    <tableColumn id="7" xr3:uid="{054EEB6D-E618-43A6-989C-FD2C1255D557}" name="Describe the activity. What was done? What was the topic? How does this support your strategy? What was the desired outcome of this activity? Please be as descriptive/detailed as possible." dataDxfId="2663" totalsRowDxfId="2662"/>
    <tableColumn id="3" xr3:uid="{24A885A3-9752-43D5-ACBF-2F5B6E2D0E56}" name="# of hours" totalsRowFunction="custom" dataDxfId="2661" totalsRowDxfId="2660">
      <totalsRowFormula>SUM(Table132678581['# of hours])</totalsRowFormula>
    </tableColumn>
    <tableColumn id="9" xr3:uid="{CD98BC73-D8B5-4E3F-ACCC-EF1D512B5A91}" name="# of people reached" totalsRowFunction="custom" dataDxfId="2659" totalsRowDxfId="2658">
      <totalsRowFormula>SUM(Table132678581['# of people reached])</totalsRowFormula>
    </tableColumn>
    <tableColumn id="10" xr3:uid="{AE87A51C-1140-4230-804B-D4B05E5B4502}" name="# of participants" totalsRowFunction="custom" dataDxfId="2657" totalsRowDxfId="2656">
      <totalsRowFormula>SUM(Table132678581['# of participants])</totalsRowFormula>
    </tableColumn>
    <tableColumn id="11" xr3:uid="{8FE5337F-5D20-4B94-863B-500707364220}" name="# of items handed out" totalsRowFunction="sum" dataDxfId="2655" totalsRowDxfId="2654"/>
    <tableColumn id="12" xr3:uid="{7E4EF0EA-CEEC-4E97-B369-AA2508BF41CD}" name="Reimbursement Amount Requested" totalsRowFunction="sum" dataDxfId="2653" totalsRowDxfId="2652" dataCellStyle="Currency"/>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1" xr:uid="{D7E27BFE-CAB0-4A66-B084-C60F544CE73F}" name="Table1326789582" displayName="Table1326789582" ref="A59:G62" totalsRowCount="1" headerRowDxfId="2651" dataDxfId="2650" tableBorderDxfId="2649" totalsRowBorderDxfId="2648">
  <autoFilter ref="A59:G61" xr:uid="{D7E27BFE-CAB0-4A66-B084-C60F544CE73F}"/>
  <tableColumns count="7">
    <tableColumn id="1" xr3:uid="{9F441986-2965-4108-AA49-2CF2F4516890}" name="Activities completed (select from the dropdown list)" totalsRowDxfId="2647"/>
    <tableColumn id="7" xr3:uid="{1DEAF71D-6290-4173-882E-12C9ADE57A3D}" name="Describe the activity. What was done? What was the topic? How does this support your strategy? What was the desired outcome of this activity? Please be as descriptive/detailed as possible." dataDxfId="2646" totalsRowDxfId="2645"/>
    <tableColumn id="3" xr3:uid="{E17BAC5D-C87F-4C79-A47F-5A19C7F853B6}" name="# of hours" totalsRowFunction="custom" dataDxfId="2644" totalsRowDxfId="2643">
      <totalsRowFormula>SUM(Table1326789582['# of hours])</totalsRowFormula>
    </tableColumn>
    <tableColumn id="9" xr3:uid="{B10F8425-10D9-4587-93DC-BE5F8910778D}" name="# of people reached" totalsRowFunction="custom" dataDxfId="2642" totalsRowDxfId="2641">
      <totalsRowFormula>SUM(Table1326789582['# of people reached])</totalsRowFormula>
    </tableColumn>
    <tableColumn id="10" xr3:uid="{613C4351-1527-4222-AB6B-6CBD9FE3FCC7}" name="# of participants" totalsRowFunction="custom" dataDxfId="2640" totalsRowDxfId="2639">
      <totalsRowFormula>SUM(Table1326789582['# of participants])</totalsRowFormula>
    </tableColumn>
    <tableColumn id="11" xr3:uid="{2E3D0821-F00C-45C8-B1C8-4FA958BEF6B3}" name="# of items handed out" totalsRowFunction="sum" dataDxfId="2638" totalsRowDxfId="2637"/>
    <tableColumn id="12" xr3:uid="{1277E04D-1D2C-457C-A3A6-636BA007A32C}" name="Reimbursement Amount Requested" totalsRowFunction="sum" dataDxfId="2636" totalsRowDxfId="2635" dataCellStyle="Currency"/>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2" xr:uid="{5209F484-5DDF-46FB-BA93-41890F1C475D}" name="Table13267810583" displayName="Table13267810583" ref="A68:G74" totalsRowCount="1" headerRowDxfId="2634" dataDxfId="2633" tableBorderDxfId="2632" totalsRowBorderDxfId="2631">
  <autoFilter ref="A68:G73" xr:uid="{5209F484-5DDF-46FB-BA93-41890F1C475D}"/>
  <tableColumns count="7">
    <tableColumn id="1" xr3:uid="{A3CF93AE-F784-491E-8869-826EBF02CF40}" name="Activities completed (select from the dropdown list)" totalsRowDxfId="2630"/>
    <tableColumn id="7" xr3:uid="{CAD1E1FC-6F60-421F-AEED-39B8FD06489C}" name="Describe the activity. What was done? What was the topic? How does this support your strategy? What was the desired outcome of this activity? Please be as descriptive/detailed as possible." dataDxfId="2629" totalsRowDxfId="2628"/>
    <tableColumn id="3" xr3:uid="{08B5BCAE-94BD-45FF-BFEB-BAF342276ED1}" name="# of hours" totalsRowFunction="custom" dataDxfId="2627" totalsRowDxfId="2626">
      <totalsRowFormula>SUM(Table13267810583['# of hours])</totalsRowFormula>
    </tableColumn>
    <tableColumn id="9" xr3:uid="{C6F79623-B34D-4222-8E11-2011711EA0B3}" name="# of people reached" totalsRowFunction="custom" dataDxfId="2625" totalsRowDxfId="2624">
      <totalsRowFormula>SUM(Table13267810583['# of people reached])</totalsRowFormula>
    </tableColumn>
    <tableColumn id="10" xr3:uid="{D5555B7F-D010-4626-BD32-C5E33B1D0552}" name="# of participants" totalsRowFunction="custom" dataDxfId="2623" totalsRowDxfId="2622">
      <totalsRowFormula>SUM(Table13267810583['# of participants])</totalsRowFormula>
    </tableColumn>
    <tableColumn id="11" xr3:uid="{BE754FE5-2316-4FFD-B453-848455FD6FF6}" name="# of items handed out" totalsRowFunction="sum" dataDxfId="2621" totalsRowDxfId="2620"/>
    <tableColumn id="12" xr3:uid="{306BE5A8-0653-4DC9-AEC9-36978C0AF871}" name="Reimbursement Amount Requested" totalsRowFunction="sum" dataDxfId="2619" totalsRowDxfId="2618" dataCellStyle="Currency" totalsRowCellStyle="Currency"/>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3" xr:uid="{8D8BD4A2-69EC-450B-AC39-82800C67C47F}" name="Table1326781011584" displayName="Table1326781011584" ref="A80:G86" totalsRowCount="1" headerRowDxfId="2617" dataDxfId="2616" tableBorderDxfId="2615" totalsRowBorderDxfId="2614">
  <autoFilter ref="A80:G85" xr:uid="{8D8BD4A2-69EC-450B-AC39-82800C67C47F}"/>
  <tableColumns count="7">
    <tableColumn id="1" xr3:uid="{A186C635-8E31-4CDC-AEFE-788393621A3B}" name="Activities completed (select from the dropdown list)" totalsRowDxfId="2613"/>
    <tableColumn id="7" xr3:uid="{8CC5714E-1232-480D-934D-386E750BD3D0}" name="Describe the activity. What was done? What was the topic? How does this support your strategy? What was the desired outcome of this activity? Please be as descriptive/detailed as possible." dataDxfId="2612" totalsRowDxfId="2611"/>
    <tableColumn id="3" xr3:uid="{AD7E82A8-5604-415B-A53F-6CECBE53948A}" name="# of hours" totalsRowFunction="custom" dataDxfId="2610" totalsRowDxfId="2609">
      <totalsRowFormula>SUM(Table1326781011584['# of hours])</totalsRowFormula>
    </tableColumn>
    <tableColumn id="9" xr3:uid="{686163E6-2E82-4FCA-86B9-8042AB7CB68F}" name="# of people reached" totalsRowFunction="custom" dataDxfId="2608" totalsRowDxfId="2607">
      <totalsRowFormula>SUM(Table1326781011584['# of people reached])</totalsRowFormula>
    </tableColumn>
    <tableColumn id="10" xr3:uid="{B540DF92-03FE-4311-AA79-B63137D7652D}" name="# of participants" totalsRowFunction="custom" dataDxfId="2606" totalsRowDxfId="2605">
      <totalsRowFormula>SUM(Table1326781011584['# of participants])</totalsRowFormula>
    </tableColumn>
    <tableColumn id="11" xr3:uid="{BD5B242F-61F2-4A44-9F30-B839CD54D8F0}" name="# of items handed out" totalsRowFunction="sum" dataDxfId="2604" totalsRowDxfId="2603"/>
    <tableColumn id="12" xr3:uid="{00AB8D64-8336-4DE0-974F-097310B80087}" name="Reimbursement Amount Requested" totalsRowFunction="sum" dataDxfId="2602" totalsRowDxfId="2601" dataCellStyle="Currency" totalsRowCellStyle="Currency"/>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4" xr:uid="{B2EF7CFB-E267-431B-8069-21BDB25CB0A9}" name="Table132678101112585" displayName="Table132678101112585" ref="A92:G98" totalsRowCount="1" headerRowDxfId="2600" dataDxfId="2599" tableBorderDxfId="2598" totalsRowBorderDxfId="2597">
  <autoFilter ref="A92:G97" xr:uid="{B2EF7CFB-E267-431B-8069-21BDB25CB0A9}"/>
  <tableColumns count="7">
    <tableColumn id="1" xr3:uid="{6C0F57D8-99EB-44E1-ABCF-A1BC6644D36A}" name="Activities completed (select from the dropdown list)" totalsRowDxfId="2596"/>
    <tableColumn id="7" xr3:uid="{106AC789-05E2-4554-BD40-E37F47C599BF}" name="Describe the activity. What was done? What was the topic? How does this support your strategy? What was the desired outcome of this activity? Please be as descriptive/detailed as possible." dataDxfId="2595" totalsRowDxfId="2594"/>
    <tableColumn id="3" xr3:uid="{70773999-073E-4304-A04A-E6EB19745282}" name="# of hours" totalsRowFunction="custom" dataDxfId="2593" totalsRowDxfId="2592">
      <totalsRowFormula>SUM(Table132678101112585['# of hours])</totalsRowFormula>
    </tableColumn>
    <tableColumn id="9" xr3:uid="{A3BEAADC-A157-4D1F-AB2E-BA131289762E}" name="# of people reached" totalsRowFunction="custom" dataDxfId="2591" totalsRowDxfId="2590">
      <totalsRowFormula>SUM(Table132678101112585['# of people reached])</totalsRowFormula>
    </tableColumn>
    <tableColumn id="10" xr3:uid="{616C54E0-3C7D-4387-81A4-3743798B2EB5}" name="# of participants" totalsRowFunction="custom" dataDxfId="2589" totalsRowDxfId="2588">
      <totalsRowFormula>SUM(Table132678101112585['# of participants])</totalsRowFormula>
    </tableColumn>
    <tableColumn id="11" xr3:uid="{46D1DA3F-7F30-4BAB-9FAB-AF313B92EC54}" name="# of items handed out" totalsRowFunction="sum" dataDxfId="2587" totalsRowDxfId="2586"/>
    <tableColumn id="12" xr3:uid="{93D89BA4-296B-4545-AE86-C38438395F41}" name="Reimbursement Amount Requested" totalsRowFunction="sum" dataDxfId="2585" totalsRowDxfId="2584" dataCellStyle="Currency"/>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5" xr:uid="{16C27A93-E1C3-42F5-AE32-850E61E2ABB1}" name="Table132586" displayName="Table132586" ref="A6:G12" totalsRowCount="1" headerRowDxfId="2583" dataDxfId="2582" tableBorderDxfId="2581" totalsRowBorderDxfId="2580">
  <autoFilter ref="A6:G11" xr:uid="{16C27A93-E1C3-42F5-AE32-850E61E2ABB1}"/>
  <tableColumns count="7">
    <tableColumn id="1" xr3:uid="{7120968D-FF9D-4DAD-AE92-A3AF09648422}" name="Activities completed (select from the dropdown list)" totalsRowDxfId="2579"/>
    <tableColumn id="7" xr3:uid="{C3CDFDAB-C03F-4731-8964-18A84EBEC601}" name="Describe the activity. What was done? What was the topic? How does this support your strategy? What was the desired outcome of this activity? Please be as descriptive/detailed as possible." dataDxfId="2578" totalsRowDxfId="2577"/>
    <tableColumn id="3" xr3:uid="{CB12C45D-6CD3-4F70-8CA7-A196B02665E2}" name="# of hours" totalsRowFunction="custom" dataDxfId="2576" totalsRowDxfId="2575">
      <totalsRowFormula>SUM(Table132586['# of hours])</totalsRowFormula>
    </tableColumn>
    <tableColumn id="9" xr3:uid="{FD995FC4-B7BD-43E1-8EBB-81C7FA6FFEE9}" name="# of people reached" totalsRowFunction="custom" dataDxfId="2574" totalsRowDxfId="2573">
      <totalsRowFormula>SUM(Table132586['# of people reached])</totalsRowFormula>
    </tableColumn>
    <tableColumn id="10" xr3:uid="{9FBDE7AD-A829-4C3B-A102-EB162287742D}" name="# of participants" totalsRowFunction="custom" dataDxfId="2572" totalsRowDxfId="2571">
      <totalsRowFormula>SUM(Table132586['# of participants])</totalsRowFormula>
    </tableColumn>
    <tableColumn id="11" xr3:uid="{8B403890-4C91-4906-B52C-C4ACADE9C2D0}" name="# of items handed out" totalsRowFunction="sum" dataDxfId="2570" totalsRowDxfId="2569"/>
    <tableColumn id="12" xr3:uid="{7CF2700D-3493-460B-9BCD-9832E9E01877}" name="Reimbursement Amount Requested" totalsRowFunction="sum" dataDxfId="2568" totalsRowDxfId="2567" dataCellStyle="Currency"/>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6" xr:uid="{6666045A-5E3C-475C-9974-F991B297E3C3}" name="Table1326587" displayName="Table1326587" ref="A18:G29" totalsRowCount="1" headerRowDxfId="2566" dataDxfId="2565" tableBorderDxfId="2564" totalsRowBorderDxfId="2563">
  <autoFilter ref="A18:G28" xr:uid="{6666045A-5E3C-475C-9974-F991B297E3C3}"/>
  <tableColumns count="7">
    <tableColumn id="1" xr3:uid="{71C596E9-A4E9-47E8-B648-942AD03EE59D}" name="Activities completed (select from the dropdown list)" totalsRowDxfId="2562"/>
    <tableColumn id="7" xr3:uid="{4133BEE0-5709-4949-821D-2932F06A0D37}" name="Describe the activity. What was done? What was the topic? How does this support your strategy? What was the desired outcome of this activity? Please be as descriptive/detailed as possible." dataDxfId="2561" totalsRowDxfId="2560"/>
    <tableColumn id="3" xr3:uid="{A809914C-E756-4D8B-9EAD-EB5A59B910BD}" name="# of hours" totalsRowFunction="custom" dataDxfId="2559" totalsRowDxfId="2558">
      <totalsRowFormula>SUM(Table1326587['# of hours])</totalsRowFormula>
    </tableColumn>
    <tableColumn id="9" xr3:uid="{49C49073-512A-4841-AAD3-7E8919B07D7F}" name="# of people reached" totalsRowFunction="custom" dataDxfId="2557" totalsRowDxfId="2556">
      <totalsRowFormula>SUM(Table1326587['# of people reached])</totalsRowFormula>
    </tableColumn>
    <tableColumn id="10" xr3:uid="{4FCE6230-CD93-4340-941A-C8B9790061BD}" name="# of participants" totalsRowFunction="custom" dataDxfId="2555" totalsRowDxfId="2554">
      <totalsRowFormula>SUM(Table1326587['# of participants])</totalsRowFormula>
    </tableColumn>
    <tableColumn id="11" xr3:uid="{E2EEF857-44EE-4DAC-8A50-C5E9FCC514A9}" name="# of items handed out" totalsRowFunction="sum" dataDxfId="2553" totalsRowDxfId="2552"/>
    <tableColumn id="12" xr3:uid="{6335D1F9-1F63-48AE-BB51-4B42AC1A7803}" name="Reimbursement Amount Requested" totalsRowFunction="sum" dataDxfId="2551" totalsRowDxfId="2550" dataCellStyle="Currency" totalsRowCellStyle="Currency"/>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7" xr:uid="{1A8C17DE-2871-4FDB-997B-6ECD1727E365}" name="Table13267588" displayName="Table13267588" ref="A35:G41" totalsRowCount="1" headerRowDxfId="2549" dataDxfId="2548" tableBorderDxfId="2547" totalsRowBorderDxfId="2546">
  <autoFilter ref="A35:G40" xr:uid="{1A8C17DE-2871-4FDB-997B-6ECD1727E365}"/>
  <tableColumns count="7">
    <tableColumn id="1" xr3:uid="{CCF2C6E2-7C6E-4475-9E60-CC9B6910064C}" name="Activities completed (select from the dropdown list)" totalsRowDxfId="2545"/>
    <tableColumn id="7" xr3:uid="{47687223-D8A3-4F2D-ADE3-4EE86E7ECDE3}" name="Describe the activity. What was done? What was the topic? How does this support your strategy? What was the desired outcome of this activity? Please be as descriptive/detailed as possible." dataDxfId="2544" totalsRowDxfId="2543"/>
    <tableColumn id="3" xr3:uid="{21CB5994-8152-466F-BB78-6667F39C645B}" name="# of hours" totalsRowFunction="custom" dataDxfId="2542" totalsRowDxfId="2541">
      <totalsRowFormula>SUM(Table13267588['# of hours])</totalsRowFormula>
    </tableColumn>
    <tableColumn id="9" xr3:uid="{B445F496-B924-45ED-90C1-E8EC75131552}" name="# of people reached" totalsRowFunction="custom" dataDxfId="2540" totalsRowDxfId="2539">
      <totalsRowFormula>SUM(Table13267588['# of people reached])</totalsRowFormula>
    </tableColumn>
    <tableColumn id="10" xr3:uid="{2C415C8A-C518-456A-ADB2-731C950EF383}" name="# of participants" totalsRowFunction="custom" dataDxfId="2538" totalsRowDxfId="2537">
      <totalsRowFormula>SUM(Table13267588['# of participants])</totalsRowFormula>
    </tableColumn>
    <tableColumn id="11" xr3:uid="{BF6450EB-0B09-41BA-A4BC-DABF5164D45C}" name="# of items handed out" totalsRowFunction="sum" dataDxfId="2536" totalsRowDxfId="2535"/>
    <tableColumn id="12" xr3:uid="{140CDCAE-0241-4362-9CEA-404CDAFD4EFE}" name="Reimbursement Amount Requested" totalsRowFunction="sum" dataDxfId="2534" totalsRowDxfId="2533" dataCellStyle="Currency" totalsRowCellStyle="Currency"/>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8" xr:uid="{AE8AE68F-C985-4D6D-8D8F-E0B75BDF6EAC}" name="Table132678589" displayName="Table132678589" ref="A47:G53" totalsRowCount="1" headerRowDxfId="2532" dataDxfId="2531" tableBorderDxfId="2530" totalsRowBorderDxfId="2529">
  <autoFilter ref="A47:G52" xr:uid="{AE8AE68F-C985-4D6D-8D8F-E0B75BDF6EAC}"/>
  <tableColumns count="7">
    <tableColumn id="1" xr3:uid="{D525628D-3673-4170-A813-906EADE7F855}" name="Activities completed (select from the dropdown list)" totalsRowDxfId="2528"/>
    <tableColumn id="7" xr3:uid="{4E420039-94A2-41EF-BD68-C876244B029A}" name="Describe the activity. What was done? What was the topic? How does this support your strategy? What was the desired outcome of this activity? Please be as descriptive/detailed as possible." dataDxfId="2527" totalsRowDxfId="2526"/>
    <tableColumn id="3" xr3:uid="{968293F5-F9DE-4199-A68E-203E6F321B6F}" name="# of hours" totalsRowFunction="custom" dataDxfId="2525" totalsRowDxfId="2524">
      <totalsRowFormula>SUM(Table132678589['# of hours])</totalsRowFormula>
    </tableColumn>
    <tableColumn id="9" xr3:uid="{143846F0-DE33-4EB0-971A-F6FD13C7299F}" name="# of people reached" totalsRowFunction="custom" dataDxfId="2523" totalsRowDxfId="2522">
      <totalsRowFormula>SUM(Table132678589['# of people reached])</totalsRowFormula>
    </tableColumn>
    <tableColumn id="10" xr3:uid="{E0ABE6D6-A814-4FDF-B8B1-D2BA8F4F1D28}" name="# of participants" totalsRowFunction="custom" dataDxfId="2521" totalsRowDxfId="2520">
      <totalsRowFormula>SUM(Table132678589['# of participants])</totalsRowFormula>
    </tableColumn>
    <tableColumn id="11" xr3:uid="{744501FA-31E5-4332-AFCF-D2C4DAA9F8C6}" name="# of items handed out" totalsRowFunction="sum" dataDxfId="2519" totalsRowDxfId="2518"/>
    <tableColumn id="12" xr3:uid="{426BB68E-3AE3-496D-A7A6-C37B9341DF66}" name="Reimbursement Amount Requested" totalsRowFunction="sum" dataDxfId="2517" totalsRowDxfId="2516" dataCellStyle="Currency"/>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9" xr:uid="{BDA72151-C3C7-4547-8E23-3D448EB93E2D}" name="Table1326789590" displayName="Table1326789590" ref="A59:G62" totalsRowCount="1" headerRowDxfId="2515" dataDxfId="2514" tableBorderDxfId="2513" totalsRowBorderDxfId="2512">
  <autoFilter ref="A59:G61" xr:uid="{BDA72151-C3C7-4547-8E23-3D448EB93E2D}"/>
  <tableColumns count="7">
    <tableColumn id="1" xr3:uid="{73FAFABA-C3A1-43A4-8194-346CC5DE3CE0}" name="Activities completed (select from the dropdown list)" totalsRowDxfId="2511"/>
    <tableColumn id="7" xr3:uid="{6AE0FA12-E0A8-4D87-85F9-D581F26C35B0}" name="Describe the activity. What was done? What was the topic? How does this support your strategy? What was the desired outcome of this activity? Please be as descriptive/detailed as possible." dataDxfId="2510" totalsRowDxfId="2509"/>
    <tableColumn id="3" xr3:uid="{5627502E-B10E-4298-842E-E9401F4ECC14}" name="# of hours" totalsRowFunction="custom" dataDxfId="2508" totalsRowDxfId="2507">
      <totalsRowFormula>SUM(Table1326789590['# of hours])</totalsRowFormula>
    </tableColumn>
    <tableColumn id="9" xr3:uid="{036572F4-ECE7-40D7-83CB-2677E58D21A8}" name="# of people reached" totalsRowFunction="custom" dataDxfId="2506" totalsRowDxfId="2505">
      <totalsRowFormula>SUM(Table1326789590['# of people reached])</totalsRowFormula>
    </tableColumn>
    <tableColumn id="10" xr3:uid="{1D1C4BB8-6188-45FE-B73A-5DBFD932353B}" name="# of participants" totalsRowFunction="custom" dataDxfId="2504" totalsRowDxfId="2503">
      <totalsRowFormula>SUM(Table1326789590['# of participants])</totalsRowFormula>
    </tableColumn>
    <tableColumn id="11" xr3:uid="{94F55213-579A-4DFE-ADA1-FA4D58AC1444}" name="# of items handed out" totalsRowFunction="sum" dataDxfId="2502" totalsRowDxfId="2501"/>
    <tableColumn id="12" xr3:uid="{EE0252ED-3015-40E1-9F7E-CFAC7E3E8C6F}" name="Reimbursement Amount Requested" totalsRowFunction="sum" dataDxfId="2500" totalsRowDxfId="2499" dataCellStyle="Currency"/>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0" xr:uid="{8B772113-B824-4BA3-BF21-D1274372A43F}" name="Table13267810591" displayName="Table13267810591" ref="A68:G74" totalsRowCount="1" headerRowDxfId="2498" dataDxfId="2497" tableBorderDxfId="2496" totalsRowBorderDxfId="2495">
  <autoFilter ref="A68:G73" xr:uid="{8B772113-B824-4BA3-BF21-D1274372A43F}"/>
  <tableColumns count="7">
    <tableColumn id="1" xr3:uid="{4795DE12-7D06-4164-A62F-F69C9AD5A4D8}" name="Activities completed (select from the dropdown list)" totalsRowDxfId="2494"/>
    <tableColumn id="7" xr3:uid="{70B39F7B-EF69-4980-AFE5-4023818AB633}" name="Describe the activity. What was done? What was the topic? How does this support your strategy? What was the desired outcome of this activity? Please be as descriptive/detailed as possible." dataDxfId="2493" totalsRowDxfId="2492"/>
    <tableColumn id="3" xr3:uid="{181E0554-00E4-47A7-827A-A9884E409AE3}" name="# of hours" totalsRowFunction="custom" dataDxfId="2491" totalsRowDxfId="2490">
      <totalsRowFormula>SUM(Table13267810591['# of hours])</totalsRowFormula>
    </tableColumn>
    <tableColumn id="9" xr3:uid="{5416EF86-D463-4796-9051-77234F591541}" name="# of people reached" totalsRowFunction="custom" dataDxfId="2489" totalsRowDxfId="2488">
      <totalsRowFormula>SUM(Table13267810591['# of people reached])</totalsRowFormula>
    </tableColumn>
    <tableColumn id="10" xr3:uid="{E6367F89-7239-4772-B84F-18956358BDBF}" name="# of participants" totalsRowFunction="custom" dataDxfId="2487" totalsRowDxfId="2486">
      <totalsRowFormula>SUM(Table13267810591['# of participants])</totalsRowFormula>
    </tableColumn>
    <tableColumn id="11" xr3:uid="{9913424D-4507-458C-951B-FE076A2E27B8}" name="# of items handed out" totalsRowFunction="sum" dataDxfId="2485" totalsRowDxfId="2484"/>
    <tableColumn id="12" xr3:uid="{C6063B8B-B87C-410D-BF01-3A24BC8771DB}" name="Reimbursement Amount Requested" totalsRowFunction="sum" dataDxfId="2483" totalsRowDxfId="2482" dataCellStyle="Currency" totalsRowCellStyle="Currency"/>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1" xr:uid="{00B1BE0B-9DF5-4CD8-BEA9-BA4EFC4DF4C1}" name="Table1326781011592" displayName="Table1326781011592" ref="A80:G86" totalsRowCount="1" headerRowDxfId="2481" dataDxfId="2480" tableBorderDxfId="2479" totalsRowBorderDxfId="2478">
  <autoFilter ref="A80:G85" xr:uid="{00B1BE0B-9DF5-4CD8-BEA9-BA4EFC4DF4C1}"/>
  <tableColumns count="7">
    <tableColumn id="1" xr3:uid="{6649D352-194E-4734-8448-E5837D41F781}" name="Activities completed (select from the dropdown list)" totalsRowDxfId="2477"/>
    <tableColumn id="7" xr3:uid="{A8A31529-605A-428A-91F9-1C4B3A58158D}" name="Describe the activity. What was done? What was the topic? How does this support your strategy? What was the desired outcome of this activity? Please be as descriptive/detailed as possible." dataDxfId="2476" totalsRowDxfId="2475"/>
    <tableColumn id="3" xr3:uid="{746FE285-1610-49EE-B369-FCE0E82B7FA5}" name="# of hours" totalsRowFunction="custom" dataDxfId="2474" totalsRowDxfId="2473">
      <totalsRowFormula>SUM(Table1326781011592['# of hours])</totalsRowFormula>
    </tableColumn>
    <tableColumn id="9" xr3:uid="{AD4CA0D3-3A14-485D-A291-C84DAE2DA4DE}" name="# of people reached" totalsRowFunction="custom" dataDxfId="2472" totalsRowDxfId="2471">
      <totalsRowFormula>SUM(Table1326781011592['# of people reached])</totalsRowFormula>
    </tableColumn>
    <tableColumn id="10" xr3:uid="{FF86E657-46A4-4579-99AE-B4440EFB3F6D}" name="# of participants" totalsRowFunction="custom" dataDxfId="2470" totalsRowDxfId="2469">
      <totalsRowFormula>SUM(Table1326781011592['# of participants])</totalsRowFormula>
    </tableColumn>
    <tableColumn id="11" xr3:uid="{8052EF53-42E8-4C39-BBA2-5454605F9982}" name="# of items handed out" totalsRowFunction="sum" dataDxfId="2468" totalsRowDxfId="2467"/>
    <tableColumn id="12" xr3:uid="{95A04388-EE1E-426A-AF70-5B76B91BA5D8}" name="Reimbursement Amount Requested" totalsRowFunction="sum" dataDxfId="2466" totalsRowDxfId="2465" dataCellStyle="Currency" totalsRowCellStyle="Currency"/>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2" xr:uid="{B0742CF3-2B5C-43B0-8F5A-B81C94B29B81}" name="Table132678101112593" displayName="Table132678101112593" ref="A92:G98" totalsRowCount="1" headerRowDxfId="2464" dataDxfId="2463" tableBorderDxfId="2462" totalsRowBorderDxfId="2461">
  <autoFilter ref="A92:G97" xr:uid="{B0742CF3-2B5C-43B0-8F5A-B81C94B29B81}"/>
  <tableColumns count="7">
    <tableColumn id="1" xr3:uid="{B6540078-926D-447A-8481-72EF18DE47C7}" name="Activities completed (select from the dropdown list)" totalsRowDxfId="2460"/>
    <tableColumn id="7" xr3:uid="{C7AC0F43-0349-43B1-85FF-4B2E013A0F4D}" name="Describe the activity. What was done? What was the topic? How does this support your strategy? What was the desired outcome of this activity? Please be as descriptive/detailed as possible." dataDxfId="2459" totalsRowDxfId="2458"/>
    <tableColumn id="3" xr3:uid="{9A0FED04-19B7-47CA-8850-C00023C8E1DB}" name="# of hours" totalsRowFunction="custom" dataDxfId="2457" totalsRowDxfId="2456">
      <totalsRowFormula>SUM(Table132678101112593['# of hours])</totalsRowFormula>
    </tableColumn>
    <tableColumn id="9" xr3:uid="{72206753-9071-4F9A-9AC2-3EC69C8D443B}" name="# of people reached" totalsRowFunction="custom" dataDxfId="2455" totalsRowDxfId="2454">
      <totalsRowFormula>SUM(Table132678101112593['# of people reached])</totalsRowFormula>
    </tableColumn>
    <tableColumn id="10" xr3:uid="{540DD098-15DF-42E3-9728-7C0ABBE83442}" name="# of participants" totalsRowFunction="custom" dataDxfId="2453" totalsRowDxfId="2452">
      <totalsRowFormula>SUM(Table132678101112593['# of participants])</totalsRowFormula>
    </tableColumn>
    <tableColumn id="11" xr3:uid="{D5AED839-A50B-42ED-8D3A-525D914DD5BF}" name="# of items handed out" totalsRowFunction="sum" dataDxfId="2451" totalsRowDxfId="2450"/>
    <tableColumn id="12" xr3:uid="{FD742A20-9D54-434F-B624-67E83134846B}" name="Reimbursement Amount Requested" totalsRowFunction="sum" dataDxfId="2449" totalsRowDxfId="2448" dataCellStyle="Currency"/>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3" xr:uid="{38FC221C-FD2F-4AF4-BFD6-8BE5B4BF83B5}" name="Table132594" displayName="Table132594" ref="A6:G12" totalsRowCount="1" headerRowDxfId="2447" dataDxfId="2446" tableBorderDxfId="2445" totalsRowBorderDxfId="2444">
  <autoFilter ref="A6:G11" xr:uid="{38FC221C-FD2F-4AF4-BFD6-8BE5B4BF83B5}"/>
  <tableColumns count="7">
    <tableColumn id="1" xr3:uid="{DD0C6B5C-6875-4B52-BDF0-57CD94747201}" name="Activities completed (select from the dropdown list)" totalsRowDxfId="2443"/>
    <tableColumn id="7" xr3:uid="{E2DBD1AA-F7D7-43D7-9E56-CA647ED12815}" name="Describe the activity. What was done? What was the topic? How does this support your strategy? What was the desired outcome of this activity? Please be as descriptive/detailed as possible." dataDxfId="2442" totalsRowDxfId="2441"/>
    <tableColumn id="3" xr3:uid="{DC7A35B7-CF18-47D3-832C-990B51F72380}" name="# of hours" totalsRowFunction="custom" dataDxfId="2440" totalsRowDxfId="2439">
      <totalsRowFormula>SUM(Table132594['# of hours])</totalsRowFormula>
    </tableColumn>
    <tableColumn id="9" xr3:uid="{8EA74D85-49A3-4830-AB91-D6F99F475115}" name="# of people reached" totalsRowFunction="custom" dataDxfId="2438" totalsRowDxfId="2437">
      <totalsRowFormula>SUM(Table132594['# of people reached])</totalsRowFormula>
    </tableColumn>
    <tableColumn id="10" xr3:uid="{CFB21DBD-1687-4F55-8B85-FE598CDDCC5E}" name="# of participants" totalsRowFunction="custom" dataDxfId="2436" totalsRowDxfId="2435">
      <totalsRowFormula>SUM(Table132594['# of participants])</totalsRowFormula>
    </tableColumn>
    <tableColumn id="11" xr3:uid="{4E3CC5D9-7A48-434B-9D54-789904C97783}" name="# of items handed out" totalsRowFunction="sum" dataDxfId="2434" totalsRowDxfId="2433"/>
    <tableColumn id="12" xr3:uid="{0B36A8F4-3CEB-4415-8982-20CE25F8532B}" name="Reimbursement Amount Requested" totalsRowFunction="sum" dataDxfId="2432" totalsRowDxfId="2431" dataCellStyle="Currency"/>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4" xr:uid="{C22265CB-0E15-45C2-9B95-CD5C5FF3F0CE}" name="Table1326595" displayName="Table1326595" ref="A18:G29" totalsRowCount="1" headerRowDxfId="2430" dataDxfId="2429" tableBorderDxfId="2428" totalsRowBorderDxfId="2427">
  <autoFilter ref="A18:G28" xr:uid="{C22265CB-0E15-45C2-9B95-CD5C5FF3F0CE}"/>
  <tableColumns count="7">
    <tableColumn id="1" xr3:uid="{6D445310-6BD0-4A4C-80F0-11B7E21A8842}" name="Activities completed (select from the dropdown list)" totalsRowDxfId="2426"/>
    <tableColumn id="7" xr3:uid="{6539B99B-5264-4A3E-B587-4C36E90AC9B5}" name="Describe the activity. What was done? What was the topic? How does this support your strategy? What was the desired outcome of this activity? Please be as descriptive/detailed as possible." dataDxfId="2425" totalsRowDxfId="2424"/>
    <tableColumn id="3" xr3:uid="{852412F6-4190-440E-854C-0FFF8BC09E24}" name="# of hours" totalsRowFunction="custom" dataDxfId="2423" totalsRowDxfId="2422">
      <totalsRowFormula>SUM(Table1326595['# of hours])</totalsRowFormula>
    </tableColumn>
    <tableColumn id="9" xr3:uid="{6C35BF2E-097B-45D2-8261-05A39A8873AA}" name="# of people reached" totalsRowFunction="custom" dataDxfId="2421" totalsRowDxfId="2420">
      <totalsRowFormula>SUM(Table1326595['# of people reached])</totalsRowFormula>
    </tableColumn>
    <tableColumn id="10" xr3:uid="{A5DFD8EB-7D72-4E24-8090-297828CE00B1}" name="# of participants" totalsRowFunction="custom" dataDxfId="2419" totalsRowDxfId="2418">
      <totalsRowFormula>SUM(Table1326595['# of participants])</totalsRowFormula>
    </tableColumn>
    <tableColumn id="11" xr3:uid="{FA044142-2AB2-4552-8E1B-2DA9E6AF02DD}" name="# of items handed out" totalsRowFunction="sum" dataDxfId="2417" totalsRowDxfId="2416"/>
    <tableColumn id="12" xr3:uid="{B506F693-8E92-4EDB-8637-C5E3FE892C60}" name="Reimbursement Amount Requested" totalsRowFunction="sum" dataDxfId="2415" totalsRowDxfId="2414" dataCellStyle="Currency" totalsRowCellStyle="Currency"/>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5" xr:uid="{809DB4F8-F483-44BC-92C6-D2418E7AF3DB}" name="Table13267596" displayName="Table13267596" ref="A35:G41" totalsRowCount="1" headerRowDxfId="2413" dataDxfId="2412" tableBorderDxfId="2411" totalsRowBorderDxfId="2410">
  <autoFilter ref="A35:G40" xr:uid="{809DB4F8-F483-44BC-92C6-D2418E7AF3DB}"/>
  <tableColumns count="7">
    <tableColumn id="1" xr3:uid="{330E29DA-E9F2-41C8-85A1-A243343BB9DA}" name="Activities completed (select from the dropdown list)" totalsRowDxfId="2409"/>
    <tableColumn id="7" xr3:uid="{64E988E7-0624-4DBD-A0E3-CAE6B87CAF82}" name="Describe the activity. What was done? What was the topic? How does this support your strategy? What was the desired outcome of this activity? Please be as descriptive/detailed as possible." dataDxfId="2408" totalsRowDxfId="2407"/>
    <tableColumn id="3" xr3:uid="{254D5F11-7EF8-4F68-B389-5C62BB65FFF0}" name="# of hours" totalsRowFunction="custom" dataDxfId="2406" totalsRowDxfId="2405">
      <totalsRowFormula>SUM(Table13267596['# of hours])</totalsRowFormula>
    </tableColumn>
    <tableColumn id="9" xr3:uid="{A3AC8C5C-E64E-4983-9590-17CEFCC216CD}" name="# of people reached" totalsRowFunction="custom" dataDxfId="2404" totalsRowDxfId="2403">
      <totalsRowFormula>SUM(Table13267596['# of people reached])</totalsRowFormula>
    </tableColumn>
    <tableColumn id="10" xr3:uid="{4314229F-165B-4F95-9EF8-246C95E516DC}" name="# of participants" totalsRowFunction="custom" dataDxfId="2402" totalsRowDxfId="2401">
      <totalsRowFormula>SUM(Table13267596['# of participants])</totalsRowFormula>
    </tableColumn>
    <tableColumn id="11" xr3:uid="{FB4FA209-C023-49E3-A217-9D863E79024D}" name="# of items handed out" totalsRowFunction="sum" dataDxfId="2400" totalsRowDxfId="2399"/>
    <tableColumn id="12" xr3:uid="{45C624A6-B3A8-4534-AA62-88AA84AFBE34}" name="Reimbursement Amount Requested" totalsRowFunction="sum" dataDxfId="2398" totalsRowDxfId="2397" dataCellStyle="Currency" totalsRowCellStyle="Currency"/>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6" xr:uid="{8BB5E0FE-75FF-4069-9481-C5C985DCD784}" name="Table132678597" displayName="Table132678597" ref="A47:G53" totalsRowCount="1" headerRowDxfId="2396" dataDxfId="2395" tableBorderDxfId="2394" totalsRowBorderDxfId="2393">
  <autoFilter ref="A47:G52" xr:uid="{8BB5E0FE-75FF-4069-9481-C5C985DCD784}"/>
  <tableColumns count="7">
    <tableColumn id="1" xr3:uid="{B912F008-EC47-4F39-AA11-80DF8E3C52D1}" name="Activities completed (select from the dropdown list)" totalsRowDxfId="2392"/>
    <tableColumn id="7" xr3:uid="{1B0CEDD2-736B-41AA-9980-D6C24FBD47FA}" name="Describe the activity. What was done? What was the topic? How does this support your strategy? What was the desired outcome of this activity? Please be as descriptive/detailed as possible." dataDxfId="2391" totalsRowDxfId="2390"/>
    <tableColumn id="3" xr3:uid="{EF5FFDB0-0F2B-4041-B9BC-43D087F77F8D}" name="# of hours" totalsRowFunction="custom" dataDxfId="2389" totalsRowDxfId="2388">
      <totalsRowFormula>SUM(Table132678597['# of hours])</totalsRowFormula>
    </tableColumn>
    <tableColumn id="9" xr3:uid="{69448D9A-54C7-4362-B05F-7F79FA29E9A2}" name="# of people reached" totalsRowFunction="custom" dataDxfId="2387" totalsRowDxfId="2386">
      <totalsRowFormula>SUM(Table132678597['# of people reached])</totalsRowFormula>
    </tableColumn>
    <tableColumn id="10" xr3:uid="{D4883A40-268B-4821-8943-8EC556A406EE}" name="# of participants" totalsRowFunction="custom" dataDxfId="2385" totalsRowDxfId="2384">
      <totalsRowFormula>SUM(Table132678597['# of participants])</totalsRowFormula>
    </tableColumn>
    <tableColumn id="11" xr3:uid="{A9C3CDE9-9490-4356-B500-D4F4DD1B2E3C}" name="# of items handed out" totalsRowFunction="sum" dataDxfId="2383" totalsRowDxfId="2382"/>
    <tableColumn id="12" xr3:uid="{7B1FE8BA-77AB-4924-BE15-CA356CD4935F}" name="Reimbursement Amount Requested" totalsRowFunction="sum" dataDxfId="2381" totalsRowDxfId="2380" dataCellStyle="Currency"/>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7" xr:uid="{E7BDEE4B-BCAE-4B50-B0D1-136ADD63A0F5}" name="Table1326789598" displayName="Table1326789598" ref="A59:G62" totalsRowCount="1" headerRowDxfId="2379" dataDxfId="2378" tableBorderDxfId="2377" totalsRowBorderDxfId="2376">
  <autoFilter ref="A59:G61" xr:uid="{E7BDEE4B-BCAE-4B50-B0D1-136ADD63A0F5}"/>
  <tableColumns count="7">
    <tableColumn id="1" xr3:uid="{2DE7F188-3D8D-4BE5-A5E8-0F3D53CB80FB}" name="Activities completed (select from the dropdown list)" totalsRowDxfId="2375"/>
    <tableColumn id="7" xr3:uid="{986166AE-CE9A-41CE-A019-C900DEC736E9}" name="Describe the activity. What was done? What was the topic? How does this support your strategy? What was the desired outcome of this activity? Please be as descriptive/detailed as possible." dataDxfId="2374" totalsRowDxfId="2373"/>
    <tableColumn id="3" xr3:uid="{383FF8BC-3365-4DB1-8159-7AAC5546BFB9}" name="# of hours" totalsRowFunction="custom" dataDxfId="2372" totalsRowDxfId="2371">
      <totalsRowFormula>SUM(Table1326789598['# of hours])</totalsRowFormula>
    </tableColumn>
    <tableColumn id="9" xr3:uid="{6C031C2D-C831-4F58-AAF2-D0904CD444F4}" name="# of people reached" totalsRowFunction="custom" dataDxfId="2370" totalsRowDxfId="2369">
      <totalsRowFormula>SUM(Table1326789598['# of people reached])</totalsRowFormula>
    </tableColumn>
    <tableColumn id="10" xr3:uid="{5A91A3FF-B827-4265-9FD7-3589EA35CE41}" name="# of participants" totalsRowFunction="custom" dataDxfId="2368" totalsRowDxfId="2367">
      <totalsRowFormula>SUM(Table1326789598['# of participants])</totalsRowFormula>
    </tableColumn>
    <tableColumn id="11" xr3:uid="{A3CCABE2-ABE4-4CB6-BE13-A91C8E53784A}" name="# of items handed out" totalsRowFunction="sum" dataDxfId="2366" totalsRowDxfId="2365"/>
    <tableColumn id="12" xr3:uid="{19B1AC03-AD9C-4A77-8D0D-92F549ECF013}" name="Reimbursement Amount Requested" totalsRowFunction="sum" dataDxfId="2364" totalsRowDxfId="2363" dataCellStyle="Currency"/>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8" xr:uid="{A6865B9A-E308-4FE5-9BDD-94B5AE68D5B0}" name="Table13267810599" displayName="Table13267810599" ref="A68:G74" totalsRowCount="1" headerRowDxfId="2362" dataDxfId="2361" tableBorderDxfId="2360" totalsRowBorderDxfId="2359">
  <autoFilter ref="A68:G73" xr:uid="{A6865B9A-E308-4FE5-9BDD-94B5AE68D5B0}"/>
  <tableColumns count="7">
    <tableColumn id="1" xr3:uid="{AB0A5F09-85CB-4F6B-89D1-3C687553D5BA}" name="Activities completed (select from the dropdown list)" totalsRowDxfId="2358"/>
    <tableColumn id="7" xr3:uid="{9D53EC0E-50C6-40D1-A957-A18699489326}" name="Describe the activity. What was done? What was the topic? How does this support your strategy? What was the desired outcome of this activity? Please be as descriptive/detailed as possible." dataDxfId="2357" totalsRowDxfId="2356"/>
    <tableColumn id="3" xr3:uid="{B9867AEC-19B7-48F8-B605-31F945E249D4}" name="# of hours" totalsRowFunction="custom" dataDxfId="2355" totalsRowDxfId="2354">
      <totalsRowFormula>SUM(Table13267810599['# of hours])</totalsRowFormula>
    </tableColumn>
    <tableColumn id="9" xr3:uid="{41A66C29-9B0D-4DEC-BA47-531DB4CCA201}" name="# of people reached" totalsRowFunction="custom" dataDxfId="2353" totalsRowDxfId="2352">
      <totalsRowFormula>SUM(Table13267810599['# of people reached])</totalsRowFormula>
    </tableColumn>
    <tableColumn id="10" xr3:uid="{28700DC3-94E6-42C9-9B3A-46461A94E8F6}" name="# of participants" totalsRowFunction="custom" dataDxfId="2351" totalsRowDxfId="2350">
      <totalsRowFormula>SUM(Table13267810599['# of participants])</totalsRowFormula>
    </tableColumn>
    <tableColumn id="11" xr3:uid="{3AB16FF5-2EBD-4E8D-A3C9-196FF82E0382}" name="# of items handed out" totalsRowFunction="sum" dataDxfId="2349" totalsRowDxfId="2348"/>
    <tableColumn id="12" xr3:uid="{1B91D2C1-C9DB-4174-8DD0-3DC3C45CECEC}" name="Reimbursement Amount Requested" totalsRowFunction="sum" dataDxfId="2347" totalsRowDxfId="2346" dataCellStyle="Currency" totalsRowCellStyle="Currency"/>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9" xr:uid="{01CF89B8-BD46-47EE-96A5-2A6F2A81AD0A}" name="Table1326781011600" displayName="Table1326781011600" ref="A80:G86" totalsRowCount="1" headerRowDxfId="2345" dataDxfId="2344" tableBorderDxfId="2343" totalsRowBorderDxfId="2342">
  <autoFilter ref="A80:G85" xr:uid="{01CF89B8-BD46-47EE-96A5-2A6F2A81AD0A}"/>
  <tableColumns count="7">
    <tableColumn id="1" xr3:uid="{998C9183-7B8A-4428-AF6A-EE6BC3A3A0C8}" name="Activities completed (select from the dropdown list)" totalsRowDxfId="2341"/>
    <tableColumn id="7" xr3:uid="{F608E603-6BBF-4FDE-B809-82EA3ED4315C}" name="Describe the activity. What was done? What was the topic? How does this support your strategy? What was the desired outcome of this activity? Please be as descriptive/detailed as possible." dataDxfId="2340" totalsRowDxfId="2339"/>
    <tableColumn id="3" xr3:uid="{4FEEBBAA-EA99-4DC5-B471-44304CE28559}" name="# of hours" totalsRowFunction="custom" dataDxfId="2338" totalsRowDxfId="2337">
      <totalsRowFormula>SUM(Table1326781011600['# of hours])</totalsRowFormula>
    </tableColumn>
    <tableColumn id="9" xr3:uid="{D83DFC64-8FB8-4370-BD85-714C92B79239}" name="# of people reached" totalsRowFunction="custom" dataDxfId="2336" totalsRowDxfId="2335">
      <totalsRowFormula>SUM(Table1326781011600['# of people reached])</totalsRowFormula>
    </tableColumn>
    <tableColumn id="10" xr3:uid="{D5AFDCB0-8F74-41B0-94AB-6F6D33B34351}" name="# of participants" totalsRowFunction="custom" dataDxfId="2334" totalsRowDxfId="2333">
      <totalsRowFormula>SUM(Table1326781011600['# of participants])</totalsRowFormula>
    </tableColumn>
    <tableColumn id="11" xr3:uid="{E962C34A-DCE5-4DDC-8E8B-E26FFE248A76}" name="# of items handed out" totalsRowFunction="sum" dataDxfId="2332" totalsRowDxfId="2331"/>
    <tableColumn id="12" xr3:uid="{D0396655-89C8-44DC-A1EE-3DA327D6FBFD}" name="Reimbursement Amount Requested" totalsRowFunction="sum" dataDxfId="2330" totalsRowDxfId="2329" dataCellStyle="Currency" totalsRowCellStyle="Currency"/>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0" xr:uid="{F14891DF-E23E-44B8-8352-78C179C43CB8}" name="Table132678101112601" displayName="Table132678101112601" ref="A92:G98" totalsRowCount="1" headerRowDxfId="2328" dataDxfId="2327" tableBorderDxfId="2326" totalsRowBorderDxfId="2325">
  <autoFilter ref="A92:G97" xr:uid="{F14891DF-E23E-44B8-8352-78C179C43CB8}"/>
  <tableColumns count="7">
    <tableColumn id="1" xr3:uid="{4945F88A-E7CF-475A-A358-34965AF2784A}" name="Activities completed (select from the dropdown list)" totalsRowDxfId="2324"/>
    <tableColumn id="7" xr3:uid="{314478DB-89E0-4C55-B411-266B6BD4389B}" name="Describe the activity. What was done? What was the topic? How does this support your strategy? What was the desired outcome of this activity? Please be as descriptive/detailed as possible." dataDxfId="2323" totalsRowDxfId="2322"/>
    <tableColumn id="3" xr3:uid="{AB91ECDE-DEC7-4817-A25E-B56C4B266B05}" name="# of hours" totalsRowFunction="custom" dataDxfId="2321" totalsRowDxfId="2320">
      <totalsRowFormula>SUM(Table132678101112601['# of hours])</totalsRowFormula>
    </tableColumn>
    <tableColumn id="9" xr3:uid="{5C568E27-1352-46EA-A279-1293738813CA}" name="# of people reached" totalsRowFunction="custom" dataDxfId="2319" totalsRowDxfId="2318">
      <totalsRowFormula>SUM(Table132678101112601['# of people reached])</totalsRowFormula>
    </tableColumn>
    <tableColumn id="10" xr3:uid="{E4632ABF-DFEB-4023-80CE-D11796A6AA8D}" name="# of participants" totalsRowFunction="custom" dataDxfId="2317" totalsRowDxfId="2316">
      <totalsRowFormula>SUM(Table132678101112601['# of participants])</totalsRowFormula>
    </tableColumn>
    <tableColumn id="11" xr3:uid="{BA4EFF74-3122-4DFF-BFA3-6E23BE2F5515}" name="# of items handed out" totalsRowFunction="sum" dataDxfId="2315" totalsRowDxfId="2314"/>
    <tableColumn id="12" xr3:uid="{4D249F6E-BD24-4E50-8E28-C85A57F5F560}" name="Reimbursement Amount Requested" totalsRowFunction="sum" dataDxfId="2313" totalsRowDxfId="2312" dataCellStyle="Currency"/>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1" xr:uid="{98CB83BF-A5DD-420E-81C8-9E22E5D02A31}" name="Table132602" displayName="Table132602" ref="A6:G12" totalsRowCount="1" headerRowDxfId="2311" dataDxfId="2310" tableBorderDxfId="2309" totalsRowBorderDxfId="2308">
  <autoFilter ref="A6:G11" xr:uid="{98CB83BF-A5DD-420E-81C8-9E22E5D02A31}"/>
  <tableColumns count="7">
    <tableColumn id="1" xr3:uid="{199565DA-8FEE-40EB-91E0-7A9AC42A18F5}" name="Activities completed (select from the dropdown list)" totalsRowDxfId="2307"/>
    <tableColumn id="7" xr3:uid="{C5E9CA82-4876-4794-AE73-666EF6E8F293}" name="Describe the activity. What was done? What was the topic? How does this support your strategy? What was the desired outcome of this activity? Please be as descriptive/detailed as possible." dataDxfId="2306" totalsRowDxfId="2305"/>
    <tableColumn id="3" xr3:uid="{7A05F3FF-DC33-42A9-9516-467391ECEDA4}" name="# of hours" totalsRowFunction="custom" dataDxfId="2304" totalsRowDxfId="2303">
      <totalsRowFormula>SUM(Table132602['# of hours])</totalsRowFormula>
    </tableColumn>
    <tableColumn id="9" xr3:uid="{A6492217-B87A-499C-96CC-5ED65307B8FE}" name="# of people reached" totalsRowFunction="custom" dataDxfId="2302" totalsRowDxfId="2301">
      <totalsRowFormula>SUM(Table132602['# of people reached])</totalsRowFormula>
    </tableColumn>
    <tableColumn id="10" xr3:uid="{DB7BA4E6-5EF5-4FEC-840E-0D89F23E0293}" name="# of participants" totalsRowFunction="custom" dataDxfId="2300" totalsRowDxfId="2299">
      <totalsRowFormula>SUM(Table132602['# of participants])</totalsRowFormula>
    </tableColumn>
    <tableColumn id="11" xr3:uid="{7E0A7D22-73F2-4D6B-BB19-6504653C09AD}" name="# of items handed out" totalsRowFunction="sum" dataDxfId="2298" totalsRowDxfId="2297"/>
    <tableColumn id="12" xr3:uid="{A53405CB-DDDA-40D8-8C9A-F018CF8CD8FD}" name="Reimbursement Amount Requested" totalsRowFunction="sum" dataDxfId="2296" totalsRowDxfId="2295" dataCellStyle="Currency"/>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2" xr:uid="{FCC10904-0424-4B7A-BCAC-5F08AE26D0E3}" name="Table1326603" displayName="Table1326603" ref="A18:G29" totalsRowCount="1" headerRowDxfId="2294" dataDxfId="2293" tableBorderDxfId="2292" totalsRowBorderDxfId="2291">
  <autoFilter ref="A18:G28" xr:uid="{FCC10904-0424-4B7A-BCAC-5F08AE26D0E3}"/>
  <tableColumns count="7">
    <tableColumn id="1" xr3:uid="{8AAC5259-7043-4FB2-8362-DE6415F0D34E}" name="Activities completed (select from the dropdown list)" totalsRowDxfId="2290"/>
    <tableColumn id="7" xr3:uid="{586D2006-1E66-44CB-901C-5C2ACD8B470B}" name="Describe the activity. What was done? What was the topic? How does this support your strategy? What was the desired outcome of this activity? Please be as descriptive/detailed as possible." dataDxfId="2289" totalsRowDxfId="2288"/>
    <tableColumn id="3" xr3:uid="{D52EE62A-5556-4F26-B4D6-F946EA4AB419}" name="# of hours" totalsRowFunction="custom" dataDxfId="2287" totalsRowDxfId="2286">
      <totalsRowFormula>SUM(Table1326603['# of hours])</totalsRowFormula>
    </tableColumn>
    <tableColumn id="9" xr3:uid="{57F747AF-98B0-4A03-BE41-210A7644DF93}" name="# of people reached" totalsRowFunction="custom" dataDxfId="2285" totalsRowDxfId="2284">
      <totalsRowFormula>SUM(Table1326603['# of people reached])</totalsRowFormula>
    </tableColumn>
    <tableColumn id="10" xr3:uid="{07F29FFB-DF8E-4CB7-964D-9EA18262CDBA}" name="# of participants" totalsRowFunction="custom" dataDxfId="2283" totalsRowDxfId="2282">
      <totalsRowFormula>SUM(Table1326603['# of participants])</totalsRowFormula>
    </tableColumn>
    <tableColumn id="11" xr3:uid="{FDE94C24-A716-42FD-8BDA-52158D8358B5}" name="# of items handed out" totalsRowFunction="sum" dataDxfId="2281" totalsRowDxfId="2280"/>
    <tableColumn id="12" xr3:uid="{37E7834C-7B03-49BF-A940-F53CFC1B8E9B}" name="Reimbursement Amount Requested" totalsRowFunction="sum" dataDxfId="2279" totalsRowDxfId="2278" dataCellStyle="Currency" totalsRowCellStyle="Currency"/>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3" xr:uid="{DE2A26CF-0A87-46E7-B6BC-D4025DB7D948}" name="Table13267604" displayName="Table13267604" ref="A35:G41" totalsRowCount="1" headerRowDxfId="2277" dataDxfId="2276" tableBorderDxfId="2275" totalsRowBorderDxfId="2274">
  <autoFilter ref="A35:G40" xr:uid="{DE2A26CF-0A87-46E7-B6BC-D4025DB7D948}"/>
  <tableColumns count="7">
    <tableColumn id="1" xr3:uid="{452FCBF0-4FE7-4A17-86E0-3DA898A33BEF}" name="Activities completed (select from the dropdown list)" totalsRowDxfId="2273"/>
    <tableColumn id="7" xr3:uid="{4AAE03F2-30C4-4363-9785-1080DF985DD1}" name="Describe the activity. What was done? What was the topic? How does this support your strategy? What was the desired outcome of this activity? Please be as descriptive/detailed as possible." dataDxfId="2272" totalsRowDxfId="2271"/>
    <tableColumn id="3" xr3:uid="{67300CEF-D051-4143-A5E8-F78CD21B2328}" name="# of hours" totalsRowFunction="custom" dataDxfId="2270" totalsRowDxfId="2269">
      <totalsRowFormula>SUM(Table13267604['# of hours])</totalsRowFormula>
    </tableColumn>
    <tableColumn id="9" xr3:uid="{E3C766CB-FC8E-4300-A54A-69A692094911}" name="# of people reached" totalsRowFunction="custom" dataDxfId="2268" totalsRowDxfId="2267">
      <totalsRowFormula>SUM(Table13267604['# of people reached])</totalsRowFormula>
    </tableColumn>
    <tableColumn id="10" xr3:uid="{E2DF8816-27D8-498E-B084-51EAF4B0DCE9}" name="# of participants" totalsRowFunction="custom" dataDxfId="2266" totalsRowDxfId="2265">
      <totalsRowFormula>SUM(Table13267604['# of participants])</totalsRowFormula>
    </tableColumn>
    <tableColumn id="11" xr3:uid="{59739997-6B08-4D31-8FD0-510666ACDA38}" name="# of items handed out" totalsRowFunction="sum" dataDxfId="2264" totalsRowDxfId="2263"/>
    <tableColumn id="12" xr3:uid="{EBDC9DFF-61DF-400A-AF9E-C4C3457F18C1}" name="Reimbursement Amount Requested" totalsRowFunction="sum" dataDxfId="2262" totalsRowDxfId="2261" dataCellStyle="Currency" totalsRowCellStyle="Currency"/>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4" xr:uid="{0C8E2041-9AC7-47CA-B622-090B08FF1650}" name="Table132678605" displayName="Table132678605" ref="A47:G53" totalsRowCount="1" headerRowDxfId="2260" dataDxfId="2259" tableBorderDxfId="2258" totalsRowBorderDxfId="2257">
  <autoFilter ref="A47:G52" xr:uid="{0C8E2041-9AC7-47CA-B622-090B08FF1650}"/>
  <tableColumns count="7">
    <tableColumn id="1" xr3:uid="{F530EADC-054E-4648-B5B6-14ECB7EC3ECC}" name="Activities completed (select from the dropdown list)" totalsRowDxfId="2256"/>
    <tableColumn id="7" xr3:uid="{2D20BAB9-6844-4220-84D7-D83D6BB299C1}" name="Describe the activity. What was done? What was the topic? How does this support your strategy? What was the desired outcome of this activity? Please be as descriptive/detailed as possible." dataDxfId="2255" totalsRowDxfId="2254"/>
    <tableColumn id="3" xr3:uid="{B0E7E3AC-BBBC-4B52-8098-A951199FC7AA}" name="# of hours" totalsRowFunction="custom" dataDxfId="2253" totalsRowDxfId="2252">
      <totalsRowFormula>SUM(Table132678605['# of hours])</totalsRowFormula>
    </tableColumn>
    <tableColumn id="9" xr3:uid="{0F636190-B065-4433-BE60-19FCD66B9A23}" name="# of people reached" totalsRowFunction="custom" dataDxfId="2251" totalsRowDxfId="2250">
      <totalsRowFormula>SUM(Table132678605['# of people reached])</totalsRowFormula>
    </tableColumn>
    <tableColumn id="10" xr3:uid="{2C6A361D-98E4-43F6-A46F-207B4DEE12DF}" name="# of participants" totalsRowFunction="custom" dataDxfId="2249" totalsRowDxfId="2248">
      <totalsRowFormula>SUM(Table132678605['# of participants])</totalsRowFormula>
    </tableColumn>
    <tableColumn id="11" xr3:uid="{C13B08B9-ECA4-4A32-84FC-27E06A7BBA4F}" name="# of items handed out" totalsRowFunction="sum" dataDxfId="2247" totalsRowDxfId="2246"/>
    <tableColumn id="12" xr3:uid="{201EE668-09A4-45FC-B568-AB495ACE952C}" name="Reimbursement Amount Requested" totalsRowFunction="sum" dataDxfId="2245" totalsRowDxfId="2244" dataCellStyle="Currency"/>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5" xr:uid="{64088969-3511-404F-AB57-3560DFBAE75E}" name="Table1326789606" displayName="Table1326789606" ref="A59:G62" totalsRowCount="1" headerRowDxfId="2243" dataDxfId="2242" tableBorderDxfId="2241" totalsRowBorderDxfId="2240">
  <autoFilter ref="A59:G61" xr:uid="{64088969-3511-404F-AB57-3560DFBAE75E}"/>
  <tableColumns count="7">
    <tableColumn id="1" xr3:uid="{03EDAD13-FE73-4ECF-B808-977914CEE3F3}" name="Activities completed (select from the dropdown list)" totalsRowDxfId="2239"/>
    <tableColumn id="7" xr3:uid="{EF6490A2-6969-4CA6-B030-E0BE3572EBEF}" name="Describe the activity. What was done? What was the topic? How does this support your strategy? What was the desired outcome of this activity? Please be as descriptive/detailed as possible." dataDxfId="2238" totalsRowDxfId="2237"/>
    <tableColumn id="3" xr3:uid="{FD87511D-11A8-48BE-825B-899032D98D61}" name="# of hours" totalsRowFunction="custom" dataDxfId="2236" totalsRowDxfId="2235">
      <totalsRowFormula>SUM(Table1326789606['# of hours])</totalsRowFormula>
    </tableColumn>
    <tableColumn id="9" xr3:uid="{219DFCDF-C16E-468B-818C-0D4EF88D6DDE}" name="# of people reached" totalsRowFunction="custom" dataDxfId="2234" totalsRowDxfId="2233">
      <totalsRowFormula>SUM(Table1326789606['# of people reached])</totalsRowFormula>
    </tableColumn>
    <tableColumn id="10" xr3:uid="{F5C1D46E-507F-454D-8949-9F30C1BD8000}" name="# of participants" totalsRowFunction="custom" dataDxfId="2232" totalsRowDxfId="2231">
      <totalsRowFormula>SUM(Table1326789606['# of participants])</totalsRowFormula>
    </tableColumn>
    <tableColumn id="11" xr3:uid="{7188C228-B60C-40FF-A017-C7194D5E6B8B}" name="# of items handed out" totalsRowFunction="sum" dataDxfId="2230" totalsRowDxfId="2229"/>
    <tableColumn id="12" xr3:uid="{E7244A86-06E1-43FC-BE7F-DDB5BBE797A0}" name="Reimbursement Amount Requested" totalsRowFunction="sum" dataDxfId="2228" totalsRowDxfId="2227" dataCellStyle="Currency"/>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6" xr:uid="{973BA380-9DCA-4C20-BFC3-7EAF82F886D7}" name="Table13267810607" displayName="Table13267810607" ref="A68:G74" totalsRowCount="1" headerRowDxfId="2226" dataDxfId="2225" tableBorderDxfId="2224" totalsRowBorderDxfId="2223">
  <autoFilter ref="A68:G73" xr:uid="{973BA380-9DCA-4C20-BFC3-7EAF82F886D7}"/>
  <tableColumns count="7">
    <tableColumn id="1" xr3:uid="{3A52D64F-60EE-4147-801B-2CC0F9DEA960}" name="Activities completed (select from the dropdown list)" totalsRowDxfId="2222"/>
    <tableColumn id="7" xr3:uid="{8074F4E6-6CD9-4E4A-8557-C9866A4F3E01}" name="Describe the activity. What was done? What was the topic? How does this support your strategy? What was the desired outcome of this activity? Please be as descriptive/detailed as possible." dataDxfId="2221" totalsRowDxfId="2220"/>
    <tableColumn id="3" xr3:uid="{7991F8CF-CA2C-47B2-8DB9-1ADD5CEC0624}" name="# of hours" totalsRowFunction="custom" dataDxfId="2219" totalsRowDxfId="2218">
      <totalsRowFormula>SUM(Table13267810607['# of hours])</totalsRowFormula>
    </tableColumn>
    <tableColumn id="9" xr3:uid="{4F59D1C7-DC72-4323-95E8-A2002453E24F}" name="# of people reached" totalsRowFunction="custom" dataDxfId="2217" totalsRowDxfId="2216">
      <totalsRowFormula>SUM(Table13267810607['# of people reached])</totalsRowFormula>
    </tableColumn>
    <tableColumn id="10" xr3:uid="{7B65E0AF-805B-4525-8EEA-FCE4E70D099F}" name="# of participants" totalsRowFunction="custom" dataDxfId="2215" totalsRowDxfId="2214">
      <totalsRowFormula>SUM(Table13267810607['# of participants])</totalsRowFormula>
    </tableColumn>
    <tableColumn id="11" xr3:uid="{BCA0A2AC-3CF6-460E-B787-D011D5DC3AC5}" name="# of items handed out" totalsRowFunction="sum" dataDxfId="2213" totalsRowDxfId="2212"/>
    <tableColumn id="12" xr3:uid="{3290C26E-F8A0-4373-A2A5-D3E934F7FFB1}" name="Reimbursement Amount Requested" totalsRowFunction="sum" dataDxfId="2211" totalsRowDxfId="2210" dataCellStyle="Currency" totalsRowCellStyle="Currency"/>
  </tableColumns>
  <tableStyleInfo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7" xr:uid="{17FC1B6B-3ADA-4EA6-B947-4B78208CCCDB}" name="Table1326781011608" displayName="Table1326781011608" ref="A80:G86" totalsRowCount="1" headerRowDxfId="2209" dataDxfId="2208" tableBorderDxfId="2207" totalsRowBorderDxfId="2206">
  <autoFilter ref="A80:G85" xr:uid="{17FC1B6B-3ADA-4EA6-B947-4B78208CCCDB}"/>
  <tableColumns count="7">
    <tableColumn id="1" xr3:uid="{D53A8E97-8900-46FA-8037-5A6577E01D76}" name="Activities completed (select from the dropdown list)" totalsRowDxfId="2205"/>
    <tableColumn id="7" xr3:uid="{B0469984-D642-4BF6-9F61-B24753FE8E80}" name="Describe the activity. What was done? What was the topic? How does this support your strategy? What was the desired outcome of this activity? Please be as descriptive/detailed as possible." dataDxfId="2204" totalsRowDxfId="2203"/>
    <tableColumn id="3" xr3:uid="{0DE2C8E6-AD72-421D-B2A0-F2755A9579F7}" name="# of hours" totalsRowFunction="custom" dataDxfId="2202" totalsRowDxfId="2201">
      <totalsRowFormula>SUM(Table1326781011608['# of hours])</totalsRowFormula>
    </tableColumn>
    <tableColumn id="9" xr3:uid="{F32223CA-310C-4741-BD1D-2A284BB2E610}" name="# of people reached" totalsRowFunction="custom" dataDxfId="2200" totalsRowDxfId="2199">
      <totalsRowFormula>SUM(Table1326781011608['# of people reached])</totalsRowFormula>
    </tableColumn>
    <tableColumn id="10" xr3:uid="{25E4906F-791A-4737-BB95-B31827829F47}" name="# of participants" totalsRowFunction="custom" dataDxfId="2198" totalsRowDxfId="2197">
      <totalsRowFormula>SUM(Table1326781011608['# of participants])</totalsRowFormula>
    </tableColumn>
    <tableColumn id="11" xr3:uid="{079C2B82-24E2-4BBF-92C8-39DFC1F3553D}" name="# of items handed out" totalsRowFunction="sum" dataDxfId="2196" totalsRowDxfId="2195"/>
    <tableColumn id="12" xr3:uid="{8CD7E2CC-38F8-4D00-B147-29F0F330198B}" name="Reimbursement Amount Requested" totalsRowFunction="sum" dataDxfId="2194" totalsRowDxfId="2193" dataCellStyle="Currency" totalsRowCellStyle="Currency"/>
  </tableColumns>
  <tableStyleInfo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8" xr:uid="{1AFE953E-FF13-44A0-9583-E7657416260B}" name="Table132678101112609" displayName="Table132678101112609" ref="A92:G98" totalsRowCount="1" headerRowDxfId="2192" dataDxfId="2191" tableBorderDxfId="2190" totalsRowBorderDxfId="2189">
  <autoFilter ref="A92:G97" xr:uid="{1AFE953E-FF13-44A0-9583-E7657416260B}"/>
  <tableColumns count="7">
    <tableColumn id="1" xr3:uid="{E2DFD739-1AC5-4422-9CFF-337AF4FD1E8E}" name="Activities completed (select from the dropdown list)" totalsRowDxfId="2188"/>
    <tableColumn id="7" xr3:uid="{2085D53D-F70B-4BC8-BD81-75B637948852}" name="Describe the activity. What was done? What was the topic? How does this support your strategy? What was the desired outcome of this activity? Please be as descriptive/detailed as possible." dataDxfId="2187" totalsRowDxfId="2186"/>
    <tableColumn id="3" xr3:uid="{545D5AE7-DC31-4516-851F-8C6C7D3CFC52}" name="# of hours" totalsRowFunction="custom" dataDxfId="2185" totalsRowDxfId="2184">
      <totalsRowFormula>SUM(Table132678101112609['# of hours])</totalsRowFormula>
    </tableColumn>
    <tableColumn id="9" xr3:uid="{A1AF3B2B-AAAB-46CF-9C11-D289E662E28E}" name="# of people reached" totalsRowFunction="custom" dataDxfId="2183" totalsRowDxfId="2182">
      <totalsRowFormula>SUM(Table132678101112609['# of people reached])</totalsRowFormula>
    </tableColumn>
    <tableColumn id="10" xr3:uid="{50C88F1F-273B-4887-80E6-8823EF733ED4}" name="# of participants" totalsRowFunction="custom" dataDxfId="2181" totalsRowDxfId="2180">
      <totalsRowFormula>SUM(Table132678101112609['# of participants])</totalsRowFormula>
    </tableColumn>
    <tableColumn id="11" xr3:uid="{22691442-9244-4C13-9DBD-2CA25FAB5EB5}" name="# of items handed out" totalsRowFunction="sum" dataDxfId="2179" totalsRowDxfId="2178"/>
    <tableColumn id="12" xr3:uid="{80162A70-24FF-40EF-97ED-56A16E6C54FF}" name="Reimbursement Amount Requested" totalsRowFunction="sum" dataDxfId="2177" totalsRowDxfId="2176" dataCellStyle="Currency"/>
  </tableColumns>
  <tableStyleInfo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9" xr:uid="{0A6C5B15-90AC-4B20-8E72-8145706888CE}" name="Table132610" displayName="Table132610" ref="A6:G12" totalsRowCount="1" headerRowDxfId="2175" dataDxfId="2174" tableBorderDxfId="2173" totalsRowBorderDxfId="2172">
  <autoFilter ref="A6:G11" xr:uid="{0A6C5B15-90AC-4B20-8E72-8145706888CE}"/>
  <tableColumns count="7">
    <tableColumn id="1" xr3:uid="{38D51350-BD45-44BA-9090-E9A3F3F49C2B}" name="Activities completed (select from the dropdown list)" totalsRowDxfId="2171"/>
    <tableColumn id="7" xr3:uid="{1B6A3161-D401-4DB8-9124-058941196043}" name="Describe the activity. What was done? What was the topic? How does this support your strategy? What was the desired outcome of this activity? Please be as descriptive/detailed as possible." dataDxfId="2170" totalsRowDxfId="2169"/>
    <tableColumn id="3" xr3:uid="{710A0084-E258-4705-A8A0-877B2427EFF9}" name="# of hours" totalsRowFunction="custom" dataDxfId="2168" totalsRowDxfId="2167">
      <totalsRowFormula>SUM(Table132610['# of hours])</totalsRowFormula>
    </tableColumn>
    <tableColumn id="9" xr3:uid="{065583F1-B159-43C4-982F-BE0D907D0546}" name="# of people reached" totalsRowFunction="custom" dataDxfId="2166" totalsRowDxfId="2165">
      <totalsRowFormula>SUM(Table132610['# of people reached])</totalsRowFormula>
    </tableColumn>
    <tableColumn id="10" xr3:uid="{EE756D4C-97DB-4F2B-8EB0-4600A8DDB7E2}" name="# of participants" totalsRowFunction="custom" dataDxfId="2164" totalsRowDxfId="2163">
      <totalsRowFormula>SUM(Table132610['# of participants])</totalsRowFormula>
    </tableColumn>
    <tableColumn id="11" xr3:uid="{D9EBB7E1-8FD1-4EAD-9C85-9DE8B3912770}" name="# of items handed out" totalsRowFunction="sum" dataDxfId="2162" totalsRowDxfId="2161"/>
    <tableColumn id="12" xr3:uid="{42C593F0-8B1D-495B-B6F0-7E8D1AF7FA5C}" name="Reimbursement Amount Requested" totalsRowFunction="sum" dataDxfId="2160" totalsRowDxfId="2159" dataCellStyle="Currency"/>
  </tableColumns>
  <tableStyleInfo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0" xr:uid="{E7D5F968-61E5-46AB-99B1-902537733AF7}" name="Table1326611" displayName="Table1326611" ref="A18:G29" totalsRowCount="1" headerRowDxfId="2158" dataDxfId="2157" tableBorderDxfId="2156" totalsRowBorderDxfId="2155">
  <autoFilter ref="A18:G28" xr:uid="{E7D5F968-61E5-46AB-99B1-902537733AF7}"/>
  <tableColumns count="7">
    <tableColumn id="1" xr3:uid="{892A00E7-D8DD-4143-BB73-A51D7533AD05}" name="Activities completed (select from the dropdown list)" totalsRowDxfId="2154"/>
    <tableColumn id="7" xr3:uid="{7BC8452B-F6AA-4B5A-A01E-42C531011C99}" name="Describe the activity. What was done? What was the topic? How does this support your strategy? What was the desired outcome of this activity? Please be as descriptive/detailed as possible." dataDxfId="2153" totalsRowDxfId="2152"/>
    <tableColumn id="3" xr3:uid="{C82014F7-462C-4440-87BD-FB14299FB23D}" name="# of hours" totalsRowFunction="custom" dataDxfId="2151" totalsRowDxfId="2150">
      <totalsRowFormula>SUM(Table1326611['# of hours])</totalsRowFormula>
    </tableColumn>
    <tableColumn id="9" xr3:uid="{6A184147-813C-40FB-AD7C-CB3670E69F44}" name="# of people reached" totalsRowFunction="custom" dataDxfId="2149" totalsRowDxfId="2148">
      <totalsRowFormula>SUM(Table1326611['# of people reached])</totalsRowFormula>
    </tableColumn>
    <tableColumn id="10" xr3:uid="{552D09CB-CD70-4180-80BD-837DE71E0DAF}" name="# of participants" totalsRowFunction="custom" dataDxfId="2147" totalsRowDxfId="2146">
      <totalsRowFormula>SUM(Table1326611['# of participants])</totalsRowFormula>
    </tableColumn>
    <tableColumn id="11" xr3:uid="{F5D4726A-8FBE-45B5-8E20-934CD66D10D8}" name="# of items handed out" totalsRowFunction="sum" dataDxfId="2145" totalsRowDxfId="2144"/>
    <tableColumn id="12" xr3:uid="{DA14BC8A-BE65-43BD-8C27-B66E4FCBF940}" name="Reimbursement Amount Requested" totalsRowFunction="sum" dataDxfId="2143" totalsRowDxfId="2142" dataCellStyle="Currency" totalsRowCellStyle="Currency"/>
  </tableColumns>
  <tableStyleInfo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1" xr:uid="{8BC768D3-A659-4B12-AF17-025181B918C8}" name="Table13267612" displayName="Table13267612" ref="A35:G41" totalsRowCount="1" headerRowDxfId="2141" dataDxfId="2140" tableBorderDxfId="2139" totalsRowBorderDxfId="2138">
  <autoFilter ref="A35:G40" xr:uid="{8BC768D3-A659-4B12-AF17-025181B918C8}"/>
  <tableColumns count="7">
    <tableColumn id="1" xr3:uid="{70549F07-AB4E-41DE-ADCA-01A5AC17D247}" name="Activities completed (select from the dropdown list)" totalsRowDxfId="2137"/>
    <tableColumn id="7" xr3:uid="{60FBDFC4-B703-46DE-9613-433143F797DA}" name="Describe the activity. What was done? What was the topic? How does this support your strategy? What was the desired outcome of this activity? Please be as descriptive/detailed as possible." dataDxfId="2136" totalsRowDxfId="2135"/>
    <tableColumn id="3" xr3:uid="{31ED126F-E305-4A14-978F-751739DD73D3}" name="# of hours" totalsRowFunction="custom" dataDxfId="2134" totalsRowDxfId="2133">
      <totalsRowFormula>SUM(Table13267612['# of hours])</totalsRowFormula>
    </tableColumn>
    <tableColumn id="9" xr3:uid="{0E37ADAE-EDA5-4221-A8A8-9A3E71315A73}" name="# of people reached" totalsRowFunction="custom" dataDxfId="2132" totalsRowDxfId="2131">
      <totalsRowFormula>SUM(Table13267612['# of people reached])</totalsRowFormula>
    </tableColumn>
    <tableColumn id="10" xr3:uid="{1743F5E3-F507-490A-8F6A-0E44461945E2}" name="# of participants" totalsRowFunction="custom" dataDxfId="2130" totalsRowDxfId="2129">
      <totalsRowFormula>SUM(Table13267612['# of participants])</totalsRowFormula>
    </tableColumn>
    <tableColumn id="11" xr3:uid="{CA693C2A-FECC-425E-8A96-00DD295A3DE6}" name="# of items handed out" totalsRowFunction="sum" dataDxfId="2128" totalsRowDxfId="2127"/>
    <tableColumn id="12" xr3:uid="{3EBB77EA-4924-4D87-9079-AB8FBC456256}" name="Reimbursement Amount Requested" totalsRowFunction="sum" dataDxfId="2126" totalsRowDxfId="2125" dataCellStyle="Currency" totalsRowCellStyle="Currency"/>
  </tableColumns>
  <tableStyleInfo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2" xr:uid="{736BAD3A-4B78-4AE3-8DBC-BE3302FD4D05}" name="Table132678613" displayName="Table132678613" ref="A47:G53" totalsRowCount="1" headerRowDxfId="2124" dataDxfId="2123" tableBorderDxfId="2122" totalsRowBorderDxfId="2121">
  <autoFilter ref="A47:G52" xr:uid="{736BAD3A-4B78-4AE3-8DBC-BE3302FD4D05}"/>
  <tableColumns count="7">
    <tableColumn id="1" xr3:uid="{24F352F4-470B-4A4F-9015-821182672379}" name="Activities completed (select from the dropdown list)" totalsRowDxfId="2120"/>
    <tableColumn id="7" xr3:uid="{20B203F4-8A03-4CF7-A90F-8E3E902C5ED0}" name="Describe the activity. What was done? What was the topic? How does this support your strategy? What was the desired outcome of this activity? Please be as descriptive/detailed as possible." dataDxfId="2119" totalsRowDxfId="2118"/>
    <tableColumn id="3" xr3:uid="{6E4F9B43-5C07-472F-9105-3D29BC92890D}" name="# of hours" totalsRowFunction="custom" dataDxfId="2117" totalsRowDxfId="2116">
      <totalsRowFormula>SUM(Table132678613['# of hours])</totalsRowFormula>
    </tableColumn>
    <tableColumn id="9" xr3:uid="{FAF76136-7158-432D-885B-1C5F4DF2DC0A}" name="# of people reached" totalsRowFunction="custom" dataDxfId="2115" totalsRowDxfId="2114">
      <totalsRowFormula>SUM(Table132678613['# of people reached])</totalsRowFormula>
    </tableColumn>
    <tableColumn id="10" xr3:uid="{68135087-E4B3-43BE-9C91-14924798C87B}" name="# of participants" totalsRowFunction="custom" dataDxfId="2113" totalsRowDxfId="2112">
      <totalsRowFormula>SUM(Table132678613['# of participants])</totalsRowFormula>
    </tableColumn>
    <tableColumn id="11" xr3:uid="{BBCE3403-7AAD-4EEE-909C-3A1016F90AB7}" name="# of items handed out" totalsRowFunction="sum" dataDxfId="2111" totalsRowDxfId="2110"/>
    <tableColumn id="12" xr3:uid="{AE22D3DB-B37A-49A1-96C9-EF2E9F17F5A5}" name="Reimbursement Amount Requested" totalsRowFunction="sum" dataDxfId="2109" totalsRowDxfId="2108" dataCellStyle="Currency"/>
  </tableColumns>
  <tableStyleInfo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3" xr:uid="{4B098534-50DA-4D23-A9A5-7385D8FAF2E2}" name="Table1326789614" displayName="Table1326789614" ref="A59:G62" totalsRowCount="1" headerRowDxfId="2107" dataDxfId="2106" tableBorderDxfId="2105" totalsRowBorderDxfId="2104">
  <autoFilter ref="A59:G61" xr:uid="{4B098534-50DA-4D23-A9A5-7385D8FAF2E2}"/>
  <tableColumns count="7">
    <tableColumn id="1" xr3:uid="{7FE21B9F-F6A8-4F4A-9EDB-353C2C3B333E}" name="Activities completed (select from the dropdown list)" totalsRowDxfId="2103"/>
    <tableColumn id="7" xr3:uid="{B7B997AA-D13F-481C-B7B0-90B186835953}" name="Describe the activity. What was done? What was the topic? How does this support your strategy? What was the desired outcome of this activity? Please be as descriptive/detailed as possible." dataDxfId="2102" totalsRowDxfId="2101"/>
    <tableColumn id="3" xr3:uid="{21E2F29E-16E4-46F6-8D12-FE0355F6274E}" name="# of hours" totalsRowFunction="custom" dataDxfId="2100" totalsRowDxfId="2099">
      <totalsRowFormula>SUM(Table1326789614['# of hours])</totalsRowFormula>
    </tableColumn>
    <tableColumn id="9" xr3:uid="{55673D6B-C5D3-4213-B8E2-AB2CDCF1EF25}" name="# of people reached" totalsRowFunction="custom" dataDxfId="2098" totalsRowDxfId="2097">
      <totalsRowFormula>SUM(Table1326789614['# of people reached])</totalsRowFormula>
    </tableColumn>
    <tableColumn id="10" xr3:uid="{A5792F4D-97C1-41C4-A43B-3F1CD79FA119}" name="# of participants" totalsRowFunction="custom" dataDxfId="2096" totalsRowDxfId="2095">
      <totalsRowFormula>SUM(Table1326789614['# of participants])</totalsRowFormula>
    </tableColumn>
    <tableColumn id="11" xr3:uid="{C9D4070A-31EF-4140-9E4F-6FE0C93B9D0E}" name="# of items handed out" totalsRowFunction="sum" dataDxfId="2094" totalsRowDxfId="2093"/>
    <tableColumn id="12" xr3:uid="{E680C88E-2B4B-4D9E-81BA-B104DE4F9613}" name="Reimbursement Amount Requested" totalsRowFunction="sum" dataDxfId="2092" totalsRowDxfId="2091" dataCellStyle="Currency"/>
  </tableColumns>
  <tableStyleInfo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4" xr:uid="{522B7F76-A118-4AB0-BEB6-5EE15619B997}" name="Table13267810615" displayName="Table13267810615" ref="A68:G74" totalsRowCount="1" headerRowDxfId="2090" dataDxfId="2089" tableBorderDxfId="2088" totalsRowBorderDxfId="2087">
  <autoFilter ref="A68:G73" xr:uid="{522B7F76-A118-4AB0-BEB6-5EE15619B997}"/>
  <tableColumns count="7">
    <tableColumn id="1" xr3:uid="{854ADC92-FFA5-4D6E-BC31-79138599996C}" name="Activities completed (select from the dropdown list)" totalsRowDxfId="2086"/>
    <tableColumn id="7" xr3:uid="{A3531400-59E2-4A58-982D-158F6C7CC5D4}" name="Describe the activity. What was done? What was the topic? How does this support your strategy? What was the desired outcome of this activity? Please be as descriptive/detailed as possible." dataDxfId="2085" totalsRowDxfId="2084"/>
    <tableColumn id="3" xr3:uid="{EF691776-227A-48A0-94F4-B94D6C24ACA3}" name="# of hours" totalsRowFunction="custom" dataDxfId="2083" totalsRowDxfId="2082">
      <totalsRowFormula>SUM(Table13267810615['# of hours])</totalsRowFormula>
    </tableColumn>
    <tableColumn id="9" xr3:uid="{06B4081A-6B12-42D6-AE1E-C76803ED044D}" name="# of people reached" totalsRowFunction="custom" dataDxfId="2081" totalsRowDxfId="2080">
      <totalsRowFormula>SUM(Table13267810615['# of people reached])</totalsRowFormula>
    </tableColumn>
    <tableColumn id="10" xr3:uid="{BC8A09A8-E893-4B63-BC3F-ABD630BE6D88}" name="# of participants" totalsRowFunction="custom" dataDxfId="2079" totalsRowDxfId="2078">
      <totalsRowFormula>SUM(Table13267810615['# of participants])</totalsRowFormula>
    </tableColumn>
    <tableColumn id="11" xr3:uid="{41D6ACB9-A69B-4A8E-8B92-E90D1438649C}" name="# of items handed out" totalsRowFunction="sum" dataDxfId="2077" totalsRowDxfId="2076"/>
    <tableColumn id="12" xr3:uid="{E78D9F2E-AAF5-4152-AB3F-99FEEDE6E9CA}" name="Reimbursement Amount Requested" totalsRowFunction="sum" dataDxfId="2075" totalsRowDxfId="2074" dataCellStyle="Currency" totalsRowCellStyle="Currency"/>
  </tableColumns>
  <tableStyleInfo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5" xr:uid="{FA37CE40-E49B-4545-8D0C-5D0E6EC300C2}" name="Table1326781011616" displayName="Table1326781011616" ref="A80:G86" totalsRowCount="1" headerRowDxfId="2073" dataDxfId="2072" tableBorderDxfId="2071" totalsRowBorderDxfId="2070">
  <autoFilter ref="A80:G85" xr:uid="{FA37CE40-E49B-4545-8D0C-5D0E6EC300C2}"/>
  <tableColumns count="7">
    <tableColumn id="1" xr3:uid="{F49EAEA7-4B1F-49F5-937F-4B6DAD0CECC8}" name="Activities completed (select from the dropdown list)" totalsRowDxfId="2069"/>
    <tableColumn id="7" xr3:uid="{4F377BF7-AFA8-4B5C-86EF-FF6858912ADD}" name="Describe the activity. What was done? What was the topic? How does this support your strategy? What was the desired outcome of this activity? Please be as descriptive/detailed as possible." dataDxfId="2068" totalsRowDxfId="2067"/>
    <tableColumn id="3" xr3:uid="{1EC43E1C-2B4F-4357-BAE1-E901551ED313}" name="# of hours" totalsRowFunction="custom" dataDxfId="2066" totalsRowDxfId="2065">
      <totalsRowFormula>SUM(Table1326781011616['# of hours])</totalsRowFormula>
    </tableColumn>
    <tableColumn id="9" xr3:uid="{E9CEC7F2-02EC-4FDF-BB94-E5FC5BB4230D}" name="# of people reached" totalsRowFunction="custom" dataDxfId="2064" totalsRowDxfId="2063">
      <totalsRowFormula>SUM(Table1326781011616['# of people reached])</totalsRowFormula>
    </tableColumn>
    <tableColumn id="10" xr3:uid="{09344CC4-C155-4848-8885-21620F9753DD}" name="# of participants" totalsRowFunction="custom" dataDxfId="2062" totalsRowDxfId="2061">
      <totalsRowFormula>SUM(Table1326781011616['# of participants])</totalsRowFormula>
    </tableColumn>
    <tableColumn id="11" xr3:uid="{B6EA05CC-F289-4292-BAD4-A7E03FDB31F2}" name="# of items handed out" totalsRowFunction="sum" dataDxfId="2060" totalsRowDxfId="2059"/>
    <tableColumn id="12" xr3:uid="{577652C3-628E-48E1-B67E-681D347A74E6}" name="Reimbursement Amount Requested" totalsRowFunction="sum" dataDxfId="2058" totalsRowDxfId="2057" dataCellStyle="Currency" totalsRowCellStyle="Currency"/>
  </tableColumns>
  <tableStyleInfo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6" xr:uid="{D5B460F8-A5C4-4B73-8EFB-F96C7368ED4A}" name="Table132678101112617" displayName="Table132678101112617" ref="A92:G98" totalsRowCount="1" headerRowDxfId="2056" dataDxfId="2055" tableBorderDxfId="2054" totalsRowBorderDxfId="2053">
  <autoFilter ref="A92:G97" xr:uid="{D5B460F8-A5C4-4B73-8EFB-F96C7368ED4A}"/>
  <tableColumns count="7">
    <tableColumn id="1" xr3:uid="{9540E3B0-472B-496F-A6FD-D7BBCFA06471}" name="Activities completed (select from the dropdown list)" totalsRowDxfId="2052"/>
    <tableColumn id="7" xr3:uid="{7BB1CF50-88F0-40CE-8D97-57918FBB823C}" name="Describe the activity. What was done? What was the topic? How does this support your strategy? What was the desired outcome of this activity? Please be as descriptive/detailed as possible." dataDxfId="2051" totalsRowDxfId="2050"/>
    <tableColumn id="3" xr3:uid="{85CD716A-2F65-45AB-892C-07F437A3C5CD}" name="# of hours" totalsRowFunction="custom" dataDxfId="2049" totalsRowDxfId="2048">
      <totalsRowFormula>SUM(Table132678101112617['# of hours])</totalsRowFormula>
    </tableColumn>
    <tableColumn id="9" xr3:uid="{422CDE86-A040-485A-8165-D8541A5402F7}" name="# of people reached" totalsRowFunction="custom" dataDxfId="2047" totalsRowDxfId="2046">
      <totalsRowFormula>SUM(Table132678101112617['# of people reached])</totalsRowFormula>
    </tableColumn>
    <tableColumn id="10" xr3:uid="{2C206B30-7C40-4B94-BAFF-9B2712E1E363}" name="# of participants" totalsRowFunction="custom" dataDxfId="2045" totalsRowDxfId="2044">
      <totalsRowFormula>SUM(Table132678101112617['# of participants])</totalsRowFormula>
    </tableColumn>
    <tableColumn id="11" xr3:uid="{D98AD002-8D25-4F88-BD8C-659EC6E52AE8}" name="# of items handed out" totalsRowFunction="sum" dataDxfId="2043" totalsRowDxfId="2042"/>
    <tableColumn id="12" xr3:uid="{01776060-77CC-40A5-B978-C46BCDBD2B38}" name="Reimbursement Amount Requested" totalsRowFunction="sum" dataDxfId="2041" totalsRowDxfId="2040" dataCellStyle="Currency"/>
  </tableColumns>
  <tableStyleInfo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7" xr:uid="{3A7EFE1B-9768-4602-A014-193982305B8B}" name="Table132618" displayName="Table132618" ref="A6:G12" totalsRowCount="1" headerRowDxfId="2039" dataDxfId="2038" tableBorderDxfId="2037" totalsRowBorderDxfId="2036">
  <autoFilter ref="A6:G11" xr:uid="{3A7EFE1B-9768-4602-A014-193982305B8B}"/>
  <tableColumns count="7">
    <tableColumn id="1" xr3:uid="{3D0A7FA3-A1EB-4D10-8DBE-B5FD75D1FEF7}" name="Activities completed (select from the dropdown list)" totalsRowDxfId="2035"/>
    <tableColumn id="7" xr3:uid="{25ACD286-B974-4A17-B6CE-2E6B37ED73C6}" name="Describe the activity. What was done? What was the topic? How does this support your strategy? What was the desired outcome of this activity? Please be as descriptive/detailed as possible." dataDxfId="2034" totalsRowDxfId="2033"/>
    <tableColumn id="3" xr3:uid="{6113C538-AAD4-43A3-9883-D6B8430104F3}" name="# of hours" totalsRowFunction="custom" dataDxfId="2032" totalsRowDxfId="2031">
      <totalsRowFormula>SUM(Table132618['# of hours])</totalsRowFormula>
    </tableColumn>
    <tableColumn id="9" xr3:uid="{88582B4B-E5D6-4C17-8313-54377DA5A5DD}" name="# of people reached" totalsRowFunction="custom" dataDxfId="2030" totalsRowDxfId="2029">
      <totalsRowFormula>SUM(Table132618['# of people reached])</totalsRowFormula>
    </tableColumn>
    <tableColumn id="10" xr3:uid="{9D8F241F-756F-43E3-A884-5BA958C942FE}" name="# of participants" totalsRowFunction="custom" dataDxfId="2028" totalsRowDxfId="2027">
      <totalsRowFormula>SUM(Table132618['# of participants])</totalsRowFormula>
    </tableColumn>
    <tableColumn id="11" xr3:uid="{A4A765E0-AA6C-43AB-9637-BD66A5A41678}" name="# of items handed out" totalsRowFunction="sum" dataDxfId="2026" totalsRowDxfId="2025"/>
    <tableColumn id="12" xr3:uid="{1C939521-4E66-4746-A9BA-7C0AF09AAE22}" name="Reimbursement Amount Requested" totalsRowFunction="sum" dataDxfId="2024" totalsRowDxfId="2023" dataCellStyle="Currency"/>
  </tableColumns>
  <tableStyleInfo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8" xr:uid="{F98A72BC-F08B-4838-A1C3-A7568CA9B198}" name="Table1326619" displayName="Table1326619" ref="A18:G29" totalsRowCount="1" headerRowDxfId="2022" dataDxfId="2021" tableBorderDxfId="2020" totalsRowBorderDxfId="2019">
  <autoFilter ref="A18:G28" xr:uid="{F98A72BC-F08B-4838-A1C3-A7568CA9B198}"/>
  <tableColumns count="7">
    <tableColumn id="1" xr3:uid="{37608B8A-E493-48D5-9CD2-592F8CF5CCF8}" name="Activities completed (select from the dropdown list)" totalsRowDxfId="2018"/>
    <tableColumn id="7" xr3:uid="{42192729-B6D8-4B10-9A6D-7CAF309EFD12}" name="Describe the activity. What was done? What was the topic? How does this support your strategy? What was the desired outcome of this activity? Please be as descriptive/detailed as possible." dataDxfId="2017" totalsRowDxfId="2016"/>
    <tableColumn id="3" xr3:uid="{95FAD95F-8D9D-49C9-8360-F95F35382750}" name="# of hours" totalsRowFunction="custom" dataDxfId="2015" totalsRowDxfId="2014">
      <totalsRowFormula>SUM(Table1326619['# of hours])</totalsRowFormula>
    </tableColumn>
    <tableColumn id="9" xr3:uid="{F6ACE822-0BC4-4B60-BF2C-0E4DD6112F8E}" name="# of people reached" totalsRowFunction="custom" dataDxfId="2013" totalsRowDxfId="2012">
      <totalsRowFormula>SUM(Table1326619['# of people reached])</totalsRowFormula>
    </tableColumn>
    <tableColumn id="10" xr3:uid="{F80B4036-A841-4FCF-8D36-73338074CB48}" name="# of participants" totalsRowFunction="custom" dataDxfId="2011" totalsRowDxfId="2010">
      <totalsRowFormula>SUM(Table1326619['# of participants])</totalsRowFormula>
    </tableColumn>
    <tableColumn id="11" xr3:uid="{E711B528-C50F-4A1F-8594-BDF8EF8BC8EA}" name="# of items handed out" totalsRowFunction="sum" dataDxfId="2009" totalsRowDxfId="2008"/>
    <tableColumn id="12" xr3:uid="{50D05EEE-CB2C-485D-BC3C-33196B9ED578}" name="Reimbursement Amount Requested" totalsRowFunction="sum" dataDxfId="2007" totalsRowDxfId="2006" dataCellStyle="Currency" totalsRowCellStyle="Currency"/>
  </tableColumns>
  <tableStyleInfo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9" xr:uid="{531FCD53-7713-4FCF-99FE-14D49D646E8B}" name="Table13267620" displayName="Table13267620" ref="A35:G41" totalsRowCount="1" headerRowDxfId="2005" dataDxfId="2004" tableBorderDxfId="2003" totalsRowBorderDxfId="2002">
  <autoFilter ref="A35:G40" xr:uid="{531FCD53-7713-4FCF-99FE-14D49D646E8B}"/>
  <tableColumns count="7">
    <tableColumn id="1" xr3:uid="{C829E3AC-37FC-4B89-B8BF-4B1674296722}" name="Activities completed (select from the dropdown list)" totalsRowDxfId="2001"/>
    <tableColumn id="7" xr3:uid="{34A1AF41-1E02-4057-A942-D348F9102841}" name="Describe the activity. What was done? What was the topic? How does this support your strategy? What was the desired outcome of this activity? Please be as descriptive/detailed as possible." dataDxfId="2000" totalsRowDxfId="1999"/>
    <tableColumn id="3" xr3:uid="{026981E8-00D5-4394-B7B9-BB6391D2D06D}" name="# of hours" totalsRowFunction="custom" dataDxfId="1998" totalsRowDxfId="1997">
      <totalsRowFormula>SUM(Table13267620['# of hours])</totalsRowFormula>
    </tableColumn>
    <tableColumn id="9" xr3:uid="{BDDDBF34-C0FB-4C92-9C3D-FA16D5B4BECE}" name="# of people reached" totalsRowFunction="custom" dataDxfId="1996" totalsRowDxfId="1995">
      <totalsRowFormula>SUM(Table13267620['# of people reached])</totalsRowFormula>
    </tableColumn>
    <tableColumn id="10" xr3:uid="{83161711-325D-47C7-A89E-91C80F64B9D2}" name="# of participants" totalsRowFunction="custom" dataDxfId="1994" totalsRowDxfId="1993">
      <totalsRowFormula>SUM(Table13267620['# of participants])</totalsRowFormula>
    </tableColumn>
    <tableColumn id="11" xr3:uid="{483EB7A0-B272-47F6-A4E2-2E877C9230F1}" name="# of items handed out" totalsRowFunction="sum" dataDxfId="1992" totalsRowDxfId="1991"/>
    <tableColumn id="12" xr3:uid="{618371C2-05FA-40E4-BB8B-EBF7746BE62E}" name="Reimbursement Amount Requested" totalsRowFunction="sum" dataDxfId="1990" totalsRowDxfId="1989" dataCellStyle="Currency" totalsRowCellStyle="Currency"/>
  </tableColumns>
  <tableStyleInfo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0" xr:uid="{C637417A-D930-4BA2-8EBA-840FC70B6136}" name="Table132678621" displayName="Table132678621" ref="A47:G53" totalsRowCount="1" headerRowDxfId="1988" dataDxfId="1987" tableBorderDxfId="1986" totalsRowBorderDxfId="1985">
  <autoFilter ref="A47:G52" xr:uid="{C637417A-D930-4BA2-8EBA-840FC70B6136}"/>
  <tableColumns count="7">
    <tableColumn id="1" xr3:uid="{A8D225C4-C554-450D-94B0-5D7D571FB7A6}" name="Activities completed (select from the dropdown list)" totalsRowDxfId="1984"/>
    <tableColumn id="7" xr3:uid="{439B41E5-DB88-4476-A51F-E24E6D815C73}" name="Describe the activity. What was done? What was the topic? How does this support your strategy? What was the desired outcome of this activity? Please be as descriptive/detailed as possible." dataDxfId="1983" totalsRowDxfId="1982"/>
    <tableColumn id="3" xr3:uid="{987F595F-48E7-449B-9E6B-AD3D8A510DC9}" name="# of hours" totalsRowFunction="custom" dataDxfId="1981" totalsRowDxfId="1980">
      <totalsRowFormula>SUM(Table132678621['# of hours])</totalsRowFormula>
    </tableColumn>
    <tableColumn id="9" xr3:uid="{C33EF900-6542-488B-A936-9376317DD88F}" name="# of people reached" totalsRowFunction="custom" dataDxfId="1979" totalsRowDxfId="1978">
      <totalsRowFormula>SUM(Table132678621['# of people reached])</totalsRowFormula>
    </tableColumn>
    <tableColumn id="10" xr3:uid="{B567DE5B-B2B7-4688-9CCD-C015B914F2CA}" name="# of participants" totalsRowFunction="custom" dataDxfId="1977" totalsRowDxfId="1976">
      <totalsRowFormula>SUM(Table132678621['# of participants])</totalsRowFormula>
    </tableColumn>
    <tableColumn id="11" xr3:uid="{F7D35AFB-CA2C-47FD-9A19-2D78D69E1535}" name="# of items handed out" totalsRowFunction="sum" dataDxfId="1975" totalsRowDxfId="1974"/>
    <tableColumn id="12" xr3:uid="{9F87D071-30C2-4334-90A6-1EADA615B3B6}" name="Reimbursement Amount Requested" totalsRowFunction="sum" dataDxfId="1973" totalsRowDxfId="1972" dataCellStyle="Currency"/>
  </tableColumns>
  <tableStyleInfo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1" xr:uid="{C84DE56F-BBA3-4433-A0BD-7420B366F864}" name="Table1326789622" displayName="Table1326789622" ref="A59:G62" totalsRowCount="1" headerRowDxfId="1971" dataDxfId="1970" tableBorderDxfId="1969" totalsRowBorderDxfId="1968">
  <autoFilter ref="A59:G61" xr:uid="{C84DE56F-BBA3-4433-A0BD-7420B366F864}"/>
  <tableColumns count="7">
    <tableColumn id="1" xr3:uid="{730172CB-ACCA-4B54-A7C7-0C117E571C4E}" name="Activities completed (select from the dropdown list)" totalsRowDxfId="1967"/>
    <tableColumn id="7" xr3:uid="{79C578E6-829E-41B9-BDB9-88D4E4B7108F}" name="Describe the activity. What was done? What was the topic? How does this support your strategy? What was the desired outcome of this activity? Please be as descriptive/detailed as possible." dataDxfId="1966" totalsRowDxfId="1965"/>
    <tableColumn id="3" xr3:uid="{4D8AF05B-EC5A-4468-8737-1769F5017723}" name="# of hours" totalsRowFunction="custom" dataDxfId="1964" totalsRowDxfId="1963">
      <totalsRowFormula>SUM(Table1326789622['# of hours])</totalsRowFormula>
    </tableColumn>
    <tableColumn id="9" xr3:uid="{CD737912-67CB-4683-8DD7-25A084ACABEF}" name="# of people reached" totalsRowFunction="custom" dataDxfId="1962" totalsRowDxfId="1961">
      <totalsRowFormula>SUM(Table1326789622['# of people reached])</totalsRowFormula>
    </tableColumn>
    <tableColumn id="10" xr3:uid="{22CAAD06-3BF3-48CC-9E22-4A8332FDE46E}" name="# of participants" totalsRowFunction="custom" dataDxfId="1960" totalsRowDxfId="1959">
      <totalsRowFormula>SUM(Table1326789622['# of participants])</totalsRowFormula>
    </tableColumn>
    <tableColumn id="11" xr3:uid="{916D3908-712E-4219-9D45-22A21CBF0916}" name="# of items handed out" totalsRowFunction="sum" dataDxfId="1958" totalsRowDxfId="1957"/>
    <tableColumn id="12" xr3:uid="{D5D71B6A-3DDE-4C82-8CEA-FC2B9471D3BB}" name="Reimbursement Amount Requested" totalsRowFunction="sum" dataDxfId="1956" totalsRowDxfId="1955" dataCellStyle="Currency"/>
  </tableColumns>
  <tableStyleInfo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2" xr:uid="{A0E460B4-7EB1-423B-BA0F-E96A6638E189}" name="Table13267810623" displayName="Table13267810623" ref="A68:G74" totalsRowCount="1" headerRowDxfId="1954" dataDxfId="1953" tableBorderDxfId="1952" totalsRowBorderDxfId="1951">
  <autoFilter ref="A68:G73" xr:uid="{A0E460B4-7EB1-423B-BA0F-E96A6638E189}"/>
  <tableColumns count="7">
    <tableColumn id="1" xr3:uid="{D391DAC4-085A-4815-90C1-A785F05DE52E}" name="Activities completed (select from the dropdown list)" totalsRowDxfId="1950"/>
    <tableColumn id="7" xr3:uid="{D6C99007-E73F-40EA-8909-FB352430D630}" name="Describe the activity. What was done? What was the topic? How does this support your strategy? What was the desired outcome of this activity? Please be as descriptive/detailed as possible." dataDxfId="1949" totalsRowDxfId="1948"/>
    <tableColumn id="3" xr3:uid="{E37B9D0A-5774-475C-805B-033FC8A89F8A}" name="# of hours" totalsRowFunction="custom" dataDxfId="1947" totalsRowDxfId="1946">
      <totalsRowFormula>SUM(Table13267810623['# of hours])</totalsRowFormula>
    </tableColumn>
    <tableColumn id="9" xr3:uid="{2A9C53EA-D2DD-4B78-AC74-F4175CA647BB}" name="# of people reached" totalsRowFunction="custom" dataDxfId="1945" totalsRowDxfId="1944">
      <totalsRowFormula>SUM(Table13267810623['# of people reached])</totalsRowFormula>
    </tableColumn>
    <tableColumn id="10" xr3:uid="{6818843C-AFBE-4592-B247-4F9A51C2DBA6}" name="# of participants" totalsRowFunction="custom" dataDxfId="1943" totalsRowDxfId="1942">
      <totalsRowFormula>SUM(Table13267810623['# of participants])</totalsRowFormula>
    </tableColumn>
    <tableColumn id="11" xr3:uid="{7CC3D7D2-28EB-499D-BB55-722A48C0A820}" name="# of items handed out" totalsRowFunction="sum" dataDxfId="1941" totalsRowDxfId="1940"/>
    <tableColumn id="12" xr3:uid="{6F50A200-45AF-4434-8B1D-F6C9BFA3DF88}" name="Reimbursement Amount Requested" totalsRowFunction="sum" dataDxfId="1939" totalsRowDxfId="1938" dataCellStyle="Currency" totalsRowCellStyle="Currency"/>
  </tableColumns>
  <tableStyleInfo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3" xr:uid="{468D417D-96A3-4E95-AD23-5E9CD6149F00}" name="Table1326781011624" displayName="Table1326781011624" ref="A80:G86" totalsRowCount="1" headerRowDxfId="1937" dataDxfId="1936" tableBorderDxfId="1935" totalsRowBorderDxfId="1934">
  <autoFilter ref="A80:G85" xr:uid="{468D417D-96A3-4E95-AD23-5E9CD6149F00}"/>
  <tableColumns count="7">
    <tableColumn id="1" xr3:uid="{6134C78D-1308-430F-8AC3-53DC6E87D457}" name="Activities completed (select from the dropdown list)" totalsRowDxfId="1933"/>
    <tableColumn id="7" xr3:uid="{F7B46C85-A41C-4F13-918A-D1C874314767}" name="Describe the activity. What was done? What was the topic? How does this support your strategy? What was the desired outcome of this activity? Please be as descriptive/detailed as possible." dataDxfId="1932" totalsRowDxfId="1931"/>
    <tableColumn id="3" xr3:uid="{73E643B6-D63D-4481-957B-24E7F0B83351}" name="# of hours" totalsRowFunction="custom" dataDxfId="1930" totalsRowDxfId="1929">
      <totalsRowFormula>SUM(Table1326781011624['# of hours])</totalsRowFormula>
    </tableColumn>
    <tableColumn id="9" xr3:uid="{1419E180-ECFC-47EF-9E64-05C1C1F2E62F}" name="# of people reached" totalsRowFunction="custom" dataDxfId="1928" totalsRowDxfId="1927">
      <totalsRowFormula>SUM(Table1326781011624['# of people reached])</totalsRowFormula>
    </tableColumn>
    <tableColumn id="10" xr3:uid="{AA9B694A-D38C-44B0-ADED-E291D7B48525}" name="# of participants" totalsRowFunction="custom" dataDxfId="1926" totalsRowDxfId="1925">
      <totalsRowFormula>SUM(Table1326781011624['# of participants])</totalsRowFormula>
    </tableColumn>
    <tableColumn id="11" xr3:uid="{E1AADC66-D38E-49C0-AD90-1C19E794CA43}" name="# of items handed out" totalsRowFunction="sum" dataDxfId="1924" totalsRowDxfId="1923"/>
    <tableColumn id="12" xr3:uid="{F72A18F7-E634-4C36-AD0C-41205D82005E}" name="Reimbursement Amount Requested" totalsRowFunction="sum" dataDxfId="1922" totalsRowDxfId="1921" dataCellStyle="Currency" totalsRowCellStyle="Currency"/>
  </tableColumns>
  <tableStyleInfo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4" xr:uid="{F8C78890-C64D-444B-9623-89179AB0F9C3}" name="Table132678101112625" displayName="Table132678101112625" ref="A92:G98" totalsRowCount="1" headerRowDxfId="1920" dataDxfId="1919" tableBorderDxfId="1918" totalsRowBorderDxfId="1917">
  <autoFilter ref="A92:G97" xr:uid="{F8C78890-C64D-444B-9623-89179AB0F9C3}"/>
  <tableColumns count="7">
    <tableColumn id="1" xr3:uid="{CA1F3247-9C56-499B-8855-4DFF1065D7ED}" name="Activities completed (select from the dropdown list)" totalsRowDxfId="1916"/>
    <tableColumn id="7" xr3:uid="{672FF333-0C3E-4185-B0CA-270D00115051}" name="Describe the activity. What was done? What was the topic? How does this support your strategy? What was the desired outcome of this activity? Please be as descriptive/detailed as possible." dataDxfId="1915" totalsRowDxfId="1914"/>
    <tableColumn id="3" xr3:uid="{7A154BB7-7049-4A92-B8FB-22A27A67DD84}" name="# of hours" totalsRowFunction="custom" dataDxfId="1913" totalsRowDxfId="1912">
      <totalsRowFormula>SUM(Table132678101112625['# of hours])</totalsRowFormula>
    </tableColumn>
    <tableColumn id="9" xr3:uid="{D73D40B0-17CD-421D-9037-D4CFC5A9F2FF}" name="# of people reached" totalsRowFunction="custom" dataDxfId="1911" totalsRowDxfId="1910">
      <totalsRowFormula>SUM(Table132678101112625['# of people reached])</totalsRowFormula>
    </tableColumn>
    <tableColumn id="10" xr3:uid="{455800F1-4E18-4CAE-A8CD-AE6B7EEE0A58}" name="# of participants" totalsRowFunction="custom" dataDxfId="1909" totalsRowDxfId="1908">
      <totalsRowFormula>SUM(Table132678101112625['# of participants])</totalsRowFormula>
    </tableColumn>
    <tableColumn id="11" xr3:uid="{609F03DB-91B2-49C8-B92D-BF2CE14A2610}" name="# of items handed out" totalsRowFunction="sum" dataDxfId="1907" totalsRowDxfId="1906"/>
    <tableColumn id="12" xr3:uid="{EF275F8A-6553-4857-AA77-27F6385837A2}" name="Reimbursement Amount Requested" totalsRowFunction="sum" dataDxfId="1905" totalsRowDxfId="1904" dataCellStyle="Currency"/>
  </tableColumns>
  <tableStyleInfo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5" xr:uid="{47FCCE0A-B8B8-43B0-AE67-D13E3CB8B89E}" name="Table132626" displayName="Table132626" ref="A6:G12" totalsRowCount="1" headerRowDxfId="1903" dataDxfId="1902" tableBorderDxfId="1901" totalsRowBorderDxfId="1900">
  <autoFilter ref="A6:G11" xr:uid="{47FCCE0A-B8B8-43B0-AE67-D13E3CB8B89E}"/>
  <tableColumns count="7">
    <tableColumn id="1" xr3:uid="{B0341CDD-A335-4A7E-821D-0AF0A4A47FDF}" name="Activities completed (select from the dropdown list)" totalsRowDxfId="1899"/>
    <tableColumn id="7" xr3:uid="{A9A14B7F-481C-4E87-B69B-40CF4DE3FA3A}" name="Describe the activity. What was done? What was the topic? How does this support your strategy? What was the desired outcome of this activity? Please be as descriptive/detailed as possible." dataDxfId="1898" totalsRowDxfId="1897"/>
    <tableColumn id="3" xr3:uid="{38886D3B-451E-48BD-9823-7C5E59CD1473}" name="# of hours" totalsRowFunction="custom" dataDxfId="1896" totalsRowDxfId="1895">
      <totalsRowFormula>SUM(Table132626['# of hours])</totalsRowFormula>
    </tableColumn>
    <tableColumn id="9" xr3:uid="{A1C6B6C3-B6E2-4500-AEBF-5622D5AB6648}" name="# of people reached" totalsRowFunction="custom" dataDxfId="1894" totalsRowDxfId="1893">
      <totalsRowFormula>SUM(Table132626['# of people reached])</totalsRowFormula>
    </tableColumn>
    <tableColumn id="10" xr3:uid="{2DDEC4C9-0E1B-4CC4-BD0C-9970568775EE}" name="# of participants" totalsRowFunction="custom" dataDxfId="1892" totalsRowDxfId="1891">
      <totalsRowFormula>SUM(Table132626['# of participants])</totalsRowFormula>
    </tableColumn>
    <tableColumn id="11" xr3:uid="{858886E5-699E-4B5E-A3EF-F7CCBF52933E}" name="# of items handed out" totalsRowFunction="sum" dataDxfId="1890" totalsRowDxfId="1889"/>
    <tableColumn id="12" xr3:uid="{43245CDC-B839-4C4D-8094-CE4FD741D2C8}" name="Reimbursement Amount Requested" totalsRowFunction="sum" dataDxfId="1888" totalsRowDxfId="1887" dataCellStyle="Currency"/>
  </tableColumns>
  <tableStyleInfo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6" xr:uid="{8582D345-07FD-4EAE-8B13-9F91C3050829}" name="Table1326627" displayName="Table1326627" ref="A18:G29" totalsRowCount="1" headerRowDxfId="1886" dataDxfId="1885" tableBorderDxfId="1884" totalsRowBorderDxfId="1883">
  <autoFilter ref="A18:G28" xr:uid="{8582D345-07FD-4EAE-8B13-9F91C3050829}"/>
  <tableColumns count="7">
    <tableColumn id="1" xr3:uid="{0F71C2D9-CCD7-4E39-B42C-5C68DEABCE81}" name="Activities completed (select from the dropdown list)" totalsRowDxfId="1882"/>
    <tableColumn id="7" xr3:uid="{3E3BE6FC-B9E0-4955-A30E-A2C924B35083}" name="Describe the activity. What was done? What was the topic? How does this support your strategy? What was the desired outcome of this activity? Please be as descriptive/detailed as possible." dataDxfId="1881" totalsRowDxfId="1880"/>
    <tableColumn id="3" xr3:uid="{2E71DA34-FF9C-49A6-8D01-984432C6A3C1}" name="# of hours" totalsRowFunction="custom" dataDxfId="1879" totalsRowDxfId="1878">
      <totalsRowFormula>SUM(Table1326627['# of hours])</totalsRowFormula>
    </tableColumn>
    <tableColumn id="9" xr3:uid="{9F5A5D99-35B0-425E-BB09-24ADCCDC983E}" name="# of people reached" totalsRowFunction="custom" dataDxfId="1877" totalsRowDxfId="1876">
      <totalsRowFormula>SUM(Table1326627['# of people reached])</totalsRowFormula>
    </tableColumn>
    <tableColumn id="10" xr3:uid="{B5062394-48C1-46A7-9B7B-98503410F9ED}" name="# of participants" totalsRowFunction="custom" dataDxfId="1875" totalsRowDxfId="1874">
      <totalsRowFormula>SUM(Table1326627['# of participants])</totalsRowFormula>
    </tableColumn>
    <tableColumn id="11" xr3:uid="{5559E02B-A67E-40D4-A88C-E695F078A600}" name="# of items handed out" totalsRowFunction="sum" dataDxfId="1873" totalsRowDxfId="1872"/>
    <tableColumn id="12" xr3:uid="{531D2C08-6F91-4C3E-8040-515913DE3DDF}" name="Reimbursement Amount Requested" totalsRowFunction="sum" dataDxfId="1871" totalsRowDxfId="1870" dataCellStyle="Currency" totalsRowCellStyle="Currency"/>
  </tableColumns>
  <tableStyleInfo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7" xr:uid="{BD83345F-48B6-4576-BEA4-3DD67FB1342E}" name="Table13267628" displayName="Table13267628" ref="A35:G41" totalsRowCount="1" headerRowDxfId="1869" dataDxfId="1868" tableBorderDxfId="1867" totalsRowBorderDxfId="1866">
  <autoFilter ref="A35:G40" xr:uid="{BD83345F-48B6-4576-BEA4-3DD67FB1342E}"/>
  <tableColumns count="7">
    <tableColumn id="1" xr3:uid="{8B89753C-5D4E-443D-842B-24CE35281CEB}" name="Activities completed (select from the dropdown list)" totalsRowDxfId="1865"/>
    <tableColumn id="7" xr3:uid="{5A2FD100-9F8F-4CF2-9A57-2E95ABEF7B56}" name="Describe the activity. What was done? What was the topic? How does this support your strategy? What was the desired outcome of this activity? Please be as descriptive/detailed as possible." dataDxfId="1864" totalsRowDxfId="1863"/>
    <tableColumn id="3" xr3:uid="{42813AF5-7253-4D9E-AE48-A2CACD8368CE}" name="# of hours" totalsRowFunction="custom" dataDxfId="1862" totalsRowDxfId="1861">
      <totalsRowFormula>SUM(Table13267628['# of hours])</totalsRowFormula>
    </tableColumn>
    <tableColumn id="9" xr3:uid="{194DCBEB-D75E-4852-A260-A9883350A6CA}" name="# of people reached" totalsRowFunction="custom" dataDxfId="1860" totalsRowDxfId="1859">
      <totalsRowFormula>SUM(Table13267628['# of people reached])</totalsRowFormula>
    </tableColumn>
    <tableColumn id="10" xr3:uid="{90A3EEDC-8AF0-4768-BB0D-5CA94ABDFD44}" name="# of participants" totalsRowFunction="custom" dataDxfId="1858" totalsRowDxfId="1857">
      <totalsRowFormula>SUM(Table13267628['# of participants])</totalsRowFormula>
    </tableColumn>
    <tableColumn id="11" xr3:uid="{A0D15F75-E1FB-44EC-B677-AC6C796BC987}" name="# of items handed out" totalsRowFunction="sum" dataDxfId="1856" totalsRowDxfId="1855"/>
    <tableColumn id="12" xr3:uid="{7D6534EB-7DC4-4F88-B4AF-6260B8D5639A}" name="Reimbursement Amount Requested" totalsRowFunction="sum" dataDxfId="1854" totalsRowDxfId="1853" dataCellStyle="Currency" totalsRowCellStyle="Currency"/>
  </tableColumns>
  <tableStyleInfo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8" xr:uid="{5CD7C91C-E72F-49A9-AD93-8F45BE0BB274}" name="Table132678629" displayName="Table132678629" ref="A47:G53" totalsRowCount="1" headerRowDxfId="1852" dataDxfId="1851" tableBorderDxfId="1850" totalsRowBorderDxfId="1849">
  <autoFilter ref="A47:G52" xr:uid="{5CD7C91C-E72F-49A9-AD93-8F45BE0BB274}"/>
  <tableColumns count="7">
    <tableColumn id="1" xr3:uid="{4E38D40B-392F-4F2A-B3CC-CDFBAFDA706B}" name="Activities completed (select from the dropdown list)" totalsRowDxfId="1848"/>
    <tableColumn id="7" xr3:uid="{82AC5F85-AC90-4D02-809E-5EDE8D1B1C38}" name="Describe the activity. What was done? What was the topic? How does this support your strategy? What was the desired outcome of this activity? Please be as descriptive/detailed as possible." dataDxfId="1847" totalsRowDxfId="1846"/>
    <tableColumn id="3" xr3:uid="{25D2917E-7D6D-451D-9F31-EE53809766CB}" name="# of hours" totalsRowFunction="custom" dataDxfId="1845" totalsRowDxfId="1844">
      <totalsRowFormula>SUM(Table132678629['# of hours])</totalsRowFormula>
    </tableColumn>
    <tableColumn id="9" xr3:uid="{5981A9E8-49F6-4ACB-951D-D33976742F50}" name="# of people reached" totalsRowFunction="custom" dataDxfId="1843" totalsRowDxfId="1842">
      <totalsRowFormula>SUM(Table132678629['# of people reached])</totalsRowFormula>
    </tableColumn>
    <tableColumn id="10" xr3:uid="{25610D37-E7EB-47A1-AF5C-2C1450343113}" name="# of participants" totalsRowFunction="custom" dataDxfId="1841" totalsRowDxfId="1840">
      <totalsRowFormula>SUM(Table132678629['# of participants])</totalsRowFormula>
    </tableColumn>
    <tableColumn id="11" xr3:uid="{C0149E9C-4990-4D2E-AC18-7397DC09FB4E}" name="# of items handed out" totalsRowFunction="sum" dataDxfId="1839" totalsRowDxfId="1838"/>
    <tableColumn id="12" xr3:uid="{FED7B336-21AE-4A8E-83A8-1B6101D90965}" name="Reimbursement Amount Requested" totalsRowFunction="sum" dataDxfId="1837" totalsRowDxfId="1836" dataCellStyle="Currency"/>
  </tableColumns>
  <tableStyleInfo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9" xr:uid="{713161E0-18B2-4231-8F8B-C17E57833D61}" name="Table1326789630" displayName="Table1326789630" ref="A59:G62" totalsRowCount="1" headerRowDxfId="1835" dataDxfId="1834" tableBorderDxfId="1833" totalsRowBorderDxfId="1832">
  <autoFilter ref="A59:G61" xr:uid="{713161E0-18B2-4231-8F8B-C17E57833D61}"/>
  <tableColumns count="7">
    <tableColumn id="1" xr3:uid="{F8E2A267-6302-4C5B-AA95-7ECC951A3499}" name="Activities completed (select from the dropdown list)" totalsRowDxfId="1831"/>
    <tableColumn id="7" xr3:uid="{55E83F1F-8C03-4D00-B1AE-ECC0B3D0E511}" name="Describe the activity. What was done? What was the topic? How does this support your strategy? What was the desired outcome of this activity? Please be as descriptive/detailed as possible." dataDxfId="1830" totalsRowDxfId="1829"/>
    <tableColumn id="3" xr3:uid="{1D20AF38-6DA4-41B8-BBDA-1925C28E0A0E}" name="# of hours" totalsRowFunction="custom" dataDxfId="1828" totalsRowDxfId="1827">
      <totalsRowFormula>SUM(Table1326789630['# of hours])</totalsRowFormula>
    </tableColumn>
    <tableColumn id="9" xr3:uid="{A623D05E-DEDF-4DF2-B8B7-BD1F167F4F48}" name="# of people reached" totalsRowFunction="custom" dataDxfId="1826" totalsRowDxfId="1825">
      <totalsRowFormula>SUM(Table1326789630['# of people reached])</totalsRowFormula>
    </tableColumn>
    <tableColumn id="10" xr3:uid="{541E1058-EEFB-4237-B3D9-7E238BFBA23F}" name="# of participants" totalsRowFunction="custom" dataDxfId="1824" totalsRowDxfId="1823">
      <totalsRowFormula>SUM(Table1326789630['# of participants])</totalsRowFormula>
    </tableColumn>
    <tableColumn id="11" xr3:uid="{1D5ECB2C-84AF-4602-AD87-C644E5E24027}" name="# of items handed out" totalsRowFunction="sum" dataDxfId="1822" totalsRowDxfId="1821"/>
    <tableColumn id="12" xr3:uid="{9B0E8E85-2F7E-4F8A-B972-3B0FB8B66382}" name="Reimbursement Amount Requested" totalsRowFunction="sum" dataDxfId="1820" totalsRowDxfId="1819" dataCellStyle="Currency"/>
  </tableColumns>
  <tableStyleInfo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0" xr:uid="{0014A627-B776-4190-B4CF-FE2F69F313F2}" name="Table13267810631" displayName="Table13267810631" ref="A68:G74" totalsRowCount="1" headerRowDxfId="1818" dataDxfId="1817" tableBorderDxfId="1816" totalsRowBorderDxfId="1815">
  <autoFilter ref="A68:G73" xr:uid="{0014A627-B776-4190-B4CF-FE2F69F313F2}"/>
  <tableColumns count="7">
    <tableColumn id="1" xr3:uid="{443CF6BC-F524-40C3-BF1E-2CBBCFA7B730}" name="Activities completed (select from the dropdown list)" totalsRowDxfId="1814"/>
    <tableColumn id="7" xr3:uid="{F7B64828-85E6-47C6-A73D-B8412BB2B540}" name="Describe the activity. What was done? What was the topic? How does this support your strategy? What was the desired outcome of this activity? Please be as descriptive/detailed as possible." dataDxfId="1813" totalsRowDxfId="1812"/>
    <tableColumn id="3" xr3:uid="{BDC57D65-216A-41FF-9F88-0C303B0922F3}" name="# of hours" totalsRowFunction="custom" dataDxfId="1811" totalsRowDxfId="1810">
      <totalsRowFormula>SUM(Table13267810631['# of hours])</totalsRowFormula>
    </tableColumn>
    <tableColumn id="9" xr3:uid="{7DC50943-6531-4A42-858E-16209A8C65FC}" name="# of people reached" totalsRowFunction="custom" dataDxfId="1809" totalsRowDxfId="1808">
      <totalsRowFormula>SUM(Table13267810631['# of people reached])</totalsRowFormula>
    </tableColumn>
    <tableColumn id="10" xr3:uid="{2A99F8B6-7C07-4F89-93BB-9CFB3BD2929E}" name="# of participants" totalsRowFunction="custom" dataDxfId="1807" totalsRowDxfId="1806">
      <totalsRowFormula>SUM(Table13267810631['# of participants])</totalsRowFormula>
    </tableColumn>
    <tableColumn id="11" xr3:uid="{9C3770A1-7EC8-48FA-B865-D05FE2313908}" name="# of items handed out" totalsRowFunction="sum" dataDxfId="1805" totalsRowDxfId="1804"/>
    <tableColumn id="12" xr3:uid="{C2784177-0F74-4991-A1D9-7C5DF02090E5}" name="Reimbursement Amount Requested" totalsRowFunction="sum" dataDxfId="1803" totalsRowDxfId="1802" dataCellStyle="Currency" totalsRowCellStyle="Currency"/>
  </tableColumns>
  <tableStyleInfo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1" xr:uid="{8409ABE7-1E1C-4027-8B36-D15DB71E66CE}" name="Table1326781011632" displayName="Table1326781011632" ref="A80:G86" totalsRowCount="1" headerRowDxfId="1801" dataDxfId="1800" tableBorderDxfId="1799" totalsRowBorderDxfId="1798">
  <autoFilter ref="A80:G85" xr:uid="{8409ABE7-1E1C-4027-8B36-D15DB71E66CE}"/>
  <tableColumns count="7">
    <tableColumn id="1" xr3:uid="{284DFEBB-7ABA-4B3C-A219-A8C35A9E5B1E}" name="Activities completed (select from the dropdown list)" totalsRowDxfId="1797"/>
    <tableColumn id="7" xr3:uid="{9130273C-45CB-4C0F-BA3A-0E31A0A36AD7}" name="Describe the activity. What was done? What was the topic? How does this support your strategy? What was the desired outcome of this activity? Please be as descriptive/detailed as possible." dataDxfId="1796" totalsRowDxfId="1795"/>
    <tableColumn id="3" xr3:uid="{6E573D3B-F028-498B-B5F6-7BA41726613E}" name="# of hours" totalsRowFunction="custom" dataDxfId="1794" totalsRowDxfId="1793">
      <totalsRowFormula>SUM(Table1326781011632['# of hours])</totalsRowFormula>
    </tableColumn>
    <tableColumn id="9" xr3:uid="{69D45B59-8908-48BC-A456-CA3AD5E60FCD}" name="# of people reached" totalsRowFunction="custom" dataDxfId="1792" totalsRowDxfId="1791">
      <totalsRowFormula>SUM(Table1326781011632['# of people reached])</totalsRowFormula>
    </tableColumn>
    <tableColumn id="10" xr3:uid="{BF65432D-1683-44C7-B07A-158F63640041}" name="# of participants" totalsRowFunction="custom" dataDxfId="1790" totalsRowDxfId="1789">
      <totalsRowFormula>SUM(Table1326781011632['# of participants])</totalsRowFormula>
    </tableColumn>
    <tableColumn id="11" xr3:uid="{C8D7BDE6-7A4E-44A0-A2FB-1E9551B90C40}" name="# of items handed out" totalsRowFunction="sum" dataDxfId="1788" totalsRowDxfId="1787"/>
    <tableColumn id="12" xr3:uid="{5E6A9800-EDAF-4DF7-B6B0-46B609BC8237}" name="Reimbursement Amount Requested" totalsRowFunction="sum" dataDxfId="1786" totalsRowDxfId="1785" dataCellStyle="Currency" totalsRowCellStyle="Currency"/>
  </tableColumns>
  <tableStyleInfo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2" xr:uid="{C460A466-4B91-42B7-8C57-C4E825EA5C9A}" name="Table132678101112633" displayName="Table132678101112633" ref="A92:G98" totalsRowCount="1" headerRowDxfId="1784" dataDxfId="1783" tableBorderDxfId="1782" totalsRowBorderDxfId="1781">
  <autoFilter ref="A92:G97" xr:uid="{C460A466-4B91-42B7-8C57-C4E825EA5C9A}"/>
  <tableColumns count="7">
    <tableColumn id="1" xr3:uid="{E866004D-4AE7-4B33-B274-7CC363DCA07D}" name="Activities completed (select from the dropdown list)" totalsRowDxfId="1780"/>
    <tableColumn id="7" xr3:uid="{BED11032-63A9-4CB0-9D8B-24953226B1BE}" name="Describe the activity. What was done? What was the topic? How does this support your strategy? What was the desired outcome of this activity? Please be as descriptive/detailed as possible." dataDxfId="1779" totalsRowDxfId="1778"/>
    <tableColumn id="3" xr3:uid="{25CF827B-A061-4B68-951A-6DC4745A4083}" name="# of hours" totalsRowFunction="custom" dataDxfId="1777" totalsRowDxfId="1776">
      <totalsRowFormula>SUM(Table132678101112633['# of hours])</totalsRowFormula>
    </tableColumn>
    <tableColumn id="9" xr3:uid="{1B9FFB49-0690-4BB8-879D-E6961FFB3CF2}" name="# of people reached" totalsRowFunction="custom" dataDxfId="1775" totalsRowDxfId="1774">
      <totalsRowFormula>SUM(Table132678101112633['# of people reached])</totalsRowFormula>
    </tableColumn>
    <tableColumn id="10" xr3:uid="{CCDF3429-D412-44E1-9CB6-85ABEA539DB9}" name="# of participants" totalsRowFunction="custom" dataDxfId="1773" totalsRowDxfId="1772">
      <totalsRowFormula>SUM(Table132678101112633['# of participants])</totalsRowFormula>
    </tableColumn>
    <tableColumn id="11" xr3:uid="{2E454401-63EE-41F6-A476-F719118C5993}" name="# of items handed out" totalsRowFunction="sum" dataDxfId="1771" totalsRowDxfId="1770"/>
    <tableColumn id="12" xr3:uid="{AB5764F9-37EC-49D4-BCE8-9ADCD71ACE8A}" name="Reimbursement Amount Requested" totalsRowFunction="sum" dataDxfId="1769" totalsRowDxfId="1768" dataCellStyle="Currency"/>
  </tableColumns>
  <tableStyleInfo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3" xr:uid="{EF0D591E-22C9-444F-BC66-4BB9970699A9}" name="Table132634" displayName="Table132634" ref="A6:G12" totalsRowCount="1" headerRowDxfId="1767" dataDxfId="1766" tableBorderDxfId="1765" totalsRowBorderDxfId="1764">
  <autoFilter ref="A6:G11" xr:uid="{EF0D591E-22C9-444F-BC66-4BB9970699A9}"/>
  <tableColumns count="7">
    <tableColumn id="1" xr3:uid="{536CCD74-7ACA-499F-919C-EAE8A27EE62F}" name="Activities completed (select from the dropdown list)" totalsRowDxfId="1763"/>
    <tableColumn id="7" xr3:uid="{89B43CF0-2324-4F25-BE81-D6BFCDBDD03F}" name="Describe the activity. What was done? What was the topic? How does this support your strategy? What was the desired outcome of this activity? Please be as descriptive/detailed as possible." dataDxfId="1762" totalsRowDxfId="1761"/>
    <tableColumn id="3" xr3:uid="{C68E8FB0-E205-4C10-BAB2-B2AC4F7DD240}" name="# of hours" totalsRowFunction="custom" dataDxfId="1760" totalsRowDxfId="1759">
      <totalsRowFormula>SUM(Table132634['# of hours])</totalsRowFormula>
    </tableColumn>
    <tableColumn id="9" xr3:uid="{6EF94C20-8993-4670-9C7D-CDB3A02BE393}" name="# of people reached" totalsRowFunction="custom" dataDxfId="1758" totalsRowDxfId="1757">
      <totalsRowFormula>SUM(Table132634['# of people reached])</totalsRowFormula>
    </tableColumn>
    <tableColumn id="10" xr3:uid="{120C1476-1DC7-44CA-9F57-FF40FDB18F78}" name="# of participants" totalsRowFunction="custom" dataDxfId="1756" totalsRowDxfId="1755">
      <totalsRowFormula>SUM(Table132634['# of participants])</totalsRowFormula>
    </tableColumn>
    <tableColumn id="11" xr3:uid="{230CAF7F-EF22-4912-A8AE-D3ECDB5378C4}" name="# of items handed out" totalsRowFunction="sum" dataDxfId="1754" totalsRowDxfId="1753"/>
    <tableColumn id="12" xr3:uid="{928A0E4F-0D29-4417-ACFC-1284976123A0}" name="Reimbursement Amount Requested" totalsRowFunction="sum" dataDxfId="1752" totalsRowDxfId="1751" dataCellStyle="Currency"/>
  </tableColumns>
  <tableStyleInfo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4" xr:uid="{6CBC21C3-AE95-43A5-B445-1F992F5D2252}" name="Table1326635" displayName="Table1326635" ref="A18:G29" totalsRowCount="1" headerRowDxfId="1750" dataDxfId="1749" tableBorderDxfId="1748" totalsRowBorderDxfId="1747">
  <autoFilter ref="A18:G28" xr:uid="{6CBC21C3-AE95-43A5-B445-1F992F5D2252}"/>
  <tableColumns count="7">
    <tableColumn id="1" xr3:uid="{02138B8A-00A8-4C02-B17B-684E17AEA748}" name="Activities completed (select from the dropdown list)" totalsRowDxfId="1746"/>
    <tableColumn id="7" xr3:uid="{11816629-3197-40CD-B79C-AA6077D6E2D6}" name="Describe the activity. What was done? What was the topic? How does this support your strategy? What was the desired outcome of this activity? Please be as descriptive/detailed as possible." dataDxfId="1745" totalsRowDxfId="1744"/>
    <tableColumn id="3" xr3:uid="{762355ED-7E76-4657-B798-AD0E8C2F13E2}" name="# of hours" totalsRowFunction="custom" dataDxfId="1743" totalsRowDxfId="1742">
      <totalsRowFormula>SUM(Table1326635['# of hours])</totalsRowFormula>
    </tableColumn>
    <tableColumn id="9" xr3:uid="{A7FE6E65-380B-49C7-AE54-CD7B7BAFEDA5}" name="# of people reached" totalsRowFunction="custom" dataDxfId="1741" totalsRowDxfId="1740">
      <totalsRowFormula>SUM(Table1326635['# of people reached])</totalsRowFormula>
    </tableColumn>
    <tableColumn id="10" xr3:uid="{D80E90CE-15CD-4DCF-B576-CB53390A50B8}" name="# of participants" totalsRowFunction="custom" dataDxfId="1739" totalsRowDxfId="1738">
      <totalsRowFormula>SUM(Table1326635['# of participants])</totalsRowFormula>
    </tableColumn>
    <tableColumn id="11" xr3:uid="{D6CBFB52-56CA-49D6-B2C8-9A6437C5E6F1}" name="# of items handed out" totalsRowFunction="sum" dataDxfId="1737" totalsRowDxfId="1736"/>
    <tableColumn id="12" xr3:uid="{8AC9DE0C-2221-49D8-BDBC-2031F3670527}" name="Reimbursement Amount Requested" totalsRowFunction="sum" dataDxfId="1735" totalsRowDxfId="1734" dataCellStyle="Currency" totalsRowCellStyle="Currency"/>
  </tableColumns>
  <tableStyleInfo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5" xr:uid="{6B442671-8581-473D-8A6E-6E5FC9D9ECE9}" name="Table13267636" displayName="Table13267636" ref="A35:G41" totalsRowCount="1" headerRowDxfId="1733" dataDxfId="1732" tableBorderDxfId="1731" totalsRowBorderDxfId="1730">
  <autoFilter ref="A35:G40" xr:uid="{6B442671-8581-473D-8A6E-6E5FC9D9ECE9}"/>
  <tableColumns count="7">
    <tableColumn id="1" xr3:uid="{BAAA852F-E078-4B01-8E69-65D26E15E698}" name="Activities completed (select from the dropdown list)" totalsRowDxfId="1729"/>
    <tableColumn id="7" xr3:uid="{35CB4218-F602-4283-B49C-D7112A6F8030}" name="Describe the activity. What was done? What was the topic? How does this support your strategy? What was the desired outcome of this activity? Please be as descriptive/detailed as possible." dataDxfId="1728" totalsRowDxfId="1727"/>
    <tableColumn id="3" xr3:uid="{85D10636-2BFE-4997-BB18-EC894200F2B6}" name="# of hours" totalsRowFunction="custom" dataDxfId="1726" totalsRowDxfId="1725">
      <totalsRowFormula>SUM(Table13267636['# of hours])</totalsRowFormula>
    </tableColumn>
    <tableColumn id="9" xr3:uid="{E0CBF74C-0203-47BA-8E9C-9F70CE7295D7}" name="# of people reached" totalsRowFunction="custom" dataDxfId="1724" totalsRowDxfId="1723">
      <totalsRowFormula>SUM(Table13267636['# of people reached])</totalsRowFormula>
    </tableColumn>
    <tableColumn id="10" xr3:uid="{118D9C3E-797B-498C-B30E-D2223F2A18EF}" name="# of participants" totalsRowFunction="custom" dataDxfId="1722" totalsRowDxfId="1721">
      <totalsRowFormula>SUM(Table13267636['# of participants])</totalsRowFormula>
    </tableColumn>
    <tableColumn id="11" xr3:uid="{3CCFB27E-74A3-4818-9A3E-DF6E56987D27}" name="# of items handed out" totalsRowFunction="sum" dataDxfId="1720" totalsRowDxfId="1719"/>
    <tableColumn id="12" xr3:uid="{4E70E5D1-0F03-4B4E-8DFD-2FF77D4F2BFA}" name="Reimbursement Amount Requested" totalsRowFunction="sum" dataDxfId="1718" totalsRowDxfId="1717" dataCellStyle="Currency" totalsRowCellStyle="Currency"/>
  </tableColumns>
  <tableStyleInfo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6" xr:uid="{27E5FC77-5893-47BF-B0E9-614A8FF1953C}" name="Table132678637" displayName="Table132678637" ref="A47:G53" totalsRowCount="1" headerRowDxfId="1716" dataDxfId="1715" tableBorderDxfId="1714" totalsRowBorderDxfId="1713">
  <autoFilter ref="A47:G52" xr:uid="{27E5FC77-5893-47BF-B0E9-614A8FF1953C}"/>
  <tableColumns count="7">
    <tableColumn id="1" xr3:uid="{159A440B-2325-437B-9691-681BA6E91974}" name="Activities completed (select from the dropdown list)" totalsRowDxfId="1712"/>
    <tableColumn id="7" xr3:uid="{24A70782-0200-4CA2-A2BA-7349182F987A}" name="Describe the activity. What was done? What was the topic? How does this support your strategy? What was the desired outcome of this activity? Please be as descriptive/detailed as possible." dataDxfId="1711" totalsRowDxfId="1710"/>
    <tableColumn id="3" xr3:uid="{5D57C391-052D-47A9-91CF-5372A0062FC5}" name="# of hours" totalsRowFunction="custom" dataDxfId="1709" totalsRowDxfId="1708">
      <totalsRowFormula>SUM(Table132678637['# of hours])</totalsRowFormula>
    </tableColumn>
    <tableColumn id="9" xr3:uid="{49500170-0BF2-46FA-8DDD-0BAB9A9D924D}" name="# of people reached" totalsRowFunction="custom" dataDxfId="1707" totalsRowDxfId="1706">
      <totalsRowFormula>SUM(Table132678637['# of people reached])</totalsRowFormula>
    </tableColumn>
    <tableColumn id="10" xr3:uid="{4D416F3B-E587-4140-9F3F-2774A2CF4752}" name="# of participants" totalsRowFunction="custom" dataDxfId="1705" totalsRowDxfId="1704">
      <totalsRowFormula>SUM(Table132678637['# of participants])</totalsRowFormula>
    </tableColumn>
    <tableColumn id="11" xr3:uid="{87FE8D3E-DCF1-4A1C-BE1C-E6A860F5306C}" name="# of items handed out" totalsRowFunction="sum" dataDxfId="1703" totalsRowDxfId="1702"/>
    <tableColumn id="12" xr3:uid="{6B444AD3-7B5F-485D-B633-0B1EA9474ED4}" name="Reimbursement Amount Requested" totalsRowFunction="sum" dataDxfId="1701" totalsRowDxfId="1700" dataCellStyle="Currency"/>
  </tableColumns>
  <tableStyleInfo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7" xr:uid="{991C91A1-DBA3-47DC-8B49-56D34E999B6C}" name="Table1326789638" displayName="Table1326789638" ref="A59:G62" totalsRowCount="1" headerRowDxfId="1699" dataDxfId="1698" tableBorderDxfId="1697" totalsRowBorderDxfId="1696">
  <autoFilter ref="A59:G61" xr:uid="{991C91A1-DBA3-47DC-8B49-56D34E999B6C}"/>
  <tableColumns count="7">
    <tableColumn id="1" xr3:uid="{67671C40-DBC6-4558-A54E-053D696548BA}" name="Activities completed (select from the dropdown list)" totalsRowDxfId="1695"/>
    <tableColumn id="7" xr3:uid="{551CF060-5EBF-4C4B-BBB2-83AC57373771}" name="Describe the activity. What was done? What was the topic? How does this support your strategy? What was the desired outcome of this activity? Please be as descriptive/detailed as possible." dataDxfId="1694" totalsRowDxfId="1693"/>
    <tableColumn id="3" xr3:uid="{02034B14-5CEE-42E7-B502-60C5CFC01EF2}" name="# of hours" totalsRowFunction="custom" dataDxfId="1692" totalsRowDxfId="1691">
      <totalsRowFormula>SUM(Table1326789638['# of hours])</totalsRowFormula>
    </tableColumn>
    <tableColumn id="9" xr3:uid="{B7992A27-D61A-4638-85A8-1D357255D7FD}" name="# of people reached" totalsRowFunction="custom" dataDxfId="1690" totalsRowDxfId="1689">
      <totalsRowFormula>SUM(Table1326789638['# of people reached])</totalsRowFormula>
    </tableColumn>
    <tableColumn id="10" xr3:uid="{14153104-18EF-4E41-920C-FEB2E046CBEB}" name="# of participants" totalsRowFunction="custom" dataDxfId="1688" totalsRowDxfId="1687">
      <totalsRowFormula>SUM(Table1326789638['# of participants])</totalsRowFormula>
    </tableColumn>
    <tableColumn id="11" xr3:uid="{2C298121-5BF2-4D6A-A20E-D19C78C43392}" name="# of items handed out" totalsRowFunction="sum" dataDxfId="1686" totalsRowDxfId="1685"/>
    <tableColumn id="12" xr3:uid="{4A8996A9-5C49-4414-98C3-4A27491CFCCD}" name="Reimbursement Amount Requested" totalsRowFunction="sum" dataDxfId="1684" totalsRowDxfId="1683" dataCellStyle="Currency"/>
  </tableColumns>
  <tableStyleInfo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8" xr:uid="{6556B013-E1CC-4E77-99DF-40FBB85A4D27}" name="Table13267810639" displayName="Table13267810639" ref="A68:G74" totalsRowCount="1" headerRowDxfId="1682" dataDxfId="1681" tableBorderDxfId="1680" totalsRowBorderDxfId="1679">
  <autoFilter ref="A68:G73" xr:uid="{6556B013-E1CC-4E77-99DF-40FBB85A4D27}"/>
  <tableColumns count="7">
    <tableColumn id="1" xr3:uid="{214B93F0-FD02-4A43-9D55-C10BB7A14A3B}" name="Activities completed (select from the dropdown list)" totalsRowDxfId="1678"/>
    <tableColumn id="7" xr3:uid="{B45139F7-9D99-4674-A4A6-F8641091E958}" name="Describe the activity. What was done? What was the topic? How does this support your strategy? What was the desired outcome of this activity? Please be as descriptive/detailed as possible." dataDxfId="1677" totalsRowDxfId="1676"/>
    <tableColumn id="3" xr3:uid="{D2297BD3-548F-4018-88FE-07CDBD40D7FA}" name="# of hours" totalsRowFunction="custom" dataDxfId="1675" totalsRowDxfId="1674">
      <totalsRowFormula>SUM(Table13267810639['# of hours])</totalsRowFormula>
    </tableColumn>
    <tableColumn id="9" xr3:uid="{B22D012A-A21B-490B-B01C-84B99FC85F73}" name="# of people reached" totalsRowFunction="custom" dataDxfId="1673" totalsRowDxfId="1672">
      <totalsRowFormula>SUM(Table13267810639['# of people reached])</totalsRowFormula>
    </tableColumn>
    <tableColumn id="10" xr3:uid="{709554D7-E4FB-45DE-87E3-DE99B17AC281}" name="# of participants" totalsRowFunction="custom" dataDxfId="1671" totalsRowDxfId="1670">
      <totalsRowFormula>SUM(Table13267810639['# of participants])</totalsRowFormula>
    </tableColumn>
    <tableColumn id="11" xr3:uid="{7F5F4EF5-458C-4CDB-8D3E-A0F3E538311D}" name="# of items handed out" totalsRowFunction="sum" dataDxfId="1669" totalsRowDxfId="1668"/>
    <tableColumn id="12" xr3:uid="{2C767009-17FF-41FA-9ECC-BA676484FD26}" name="Reimbursement Amount Requested" totalsRowFunction="sum" dataDxfId="1667" totalsRowDxfId="1666" dataCellStyle="Currency" totalsRowCellStyle="Currency"/>
  </tableColumns>
  <tableStyleInfo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9" xr:uid="{8278E6C6-E609-482D-B998-49D82A262748}" name="Table1326781011640" displayName="Table1326781011640" ref="A80:G86" totalsRowCount="1" headerRowDxfId="1665" dataDxfId="1664" tableBorderDxfId="1663" totalsRowBorderDxfId="1662">
  <autoFilter ref="A80:G85" xr:uid="{8278E6C6-E609-482D-B998-49D82A262748}"/>
  <tableColumns count="7">
    <tableColumn id="1" xr3:uid="{312F7729-38F7-4985-8C72-096E51EC7A0D}" name="Activities completed (select from the dropdown list)" totalsRowDxfId="1661"/>
    <tableColumn id="7" xr3:uid="{B95DC9D2-C38C-4941-8DC7-C4843A70D41A}" name="Describe the activity. What was done? What was the topic? How does this support your strategy? What was the desired outcome of this activity? Please be as descriptive/detailed as possible." dataDxfId="1660" totalsRowDxfId="1659"/>
    <tableColumn id="3" xr3:uid="{5A17B5E7-193F-48FE-9978-A1139B689C83}" name="# of hours" totalsRowFunction="custom" dataDxfId="1658" totalsRowDxfId="1657">
      <totalsRowFormula>SUM(Table1326781011640['# of hours])</totalsRowFormula>
    </tableColumn>
    <tableColumn id="9" xr3:uid="{71470EAB-D14B-4C90-8276-545AAA036A8D}" name="# of people reached" totalsRowFunction="custom" dataDxfId="1656" totalsRowDxfId="1655">
      <totalsRowFormula>SUM(Table1326781011640['# of people reached])</totalsRowFormula>
    </tableColumn>
    <tableColumn id="10" xr3:uid="{B876876A-0C72-42A1-8DBC-ECCAECD3EE06}" name="# of participants" totalsRowFunction="custom" dataDxfId="1654" totalsRowDxfId="1653">
      <totalsRowFormula>SUM(Table1326781011640['# of participants])</totalsRowFormula>
    </tableColumn>
    <tableColumn id="11" xr3:uid="{29E0EBC0-AA36-4EBC-9CA7-8734AF58E1D1}" name="# of items handed out" totalsRowFunction="sum" dataDxfId="1652" totalsRowDxfId="1651"/>
    <tableColumn id="12" xr3:uid="{B9E64ED8-34D2-4060-B6A8-F3436A1CB33F}" name="Reimbursement Amount Requested" totalsRowFunction="sum" dataDxfId="1650" totalsRowDxfId="1649" dataCellStyle="Currency" totalsRowCellStyle="Currency"/>
  </tableColumns>
  <tableStyleInfo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0" xr:uid="{C7D22F06-3265-43AC-85DB-57BE07523618}" name="Table132678101112641" displayName="Table132678101112641" ref="A92:G98" totalsRowCount="1" headerRowDxfId="1648" dataDxfId="1647" tableBorderDxfId="1646" totalsRowBorderDxfId="1645">
  <autoFilter ref="A92:G97" xr:uid="{C7D22F06-3265-43AC-85DB-57BE07523618}"/>
  <tableColumns count="7">
    <tableColumn id="1" xr3:uid="{2CA8BB90-EE72-4E73-9454-74C844FC9BF0}" name="Activities completed (select from the dropdown list)" totalsRowDxfId="1644"/>
    <tableColumn id="7" xr3:uid="{6DA8EB9A-8D58-4333-94ED-028965D2D414}" name="Describe the activity. What was done? What was the topic? How does this support your strategy? What was the desired outcome of this activity? Please be as descriptive/detailed as possible." dataDxfId="1643" totalsRowDxfId="1642"/>
    <tableColumn id="3" xr3:uid="{95CAD8E6-3C74-4EDB-9F82-E5F2A907576F}" name="# of hours" totalsRowFunction="custom" dataDxfId="1641" totalsRowDxfId="1640">
      <totalsRowFormula>SUM(Table132678101112641['# of hours])</totalsRowFormula>
    </tableColumn>
    <tableColumn id="9" xr3:uid="{C6572D70-003D-4B5A-9376-B945202B8794}" name="# of people reached" totalsRowFunction="custom" dataDxfId="1639" totalsRowDxfId="1638">
      <totalsRowFormula>SUM(Table132678101112641['# of people reached])</totalsRowFormula>
    </tableColumn>
    <tableColumn id="10" xr3:uid="{0D6AB391-6DC9-42F7-AE06-2FCBDDECE528}" name="# of participants" totalsRowFunction="custom" dataDxfId="1637" totalsRowDxfId="1636">
      <totalsRowFormula>SUM(Table132678101112641['# of participants])</totalsRowFormula>
    </tableColumn>
    <tableColumn id="11" xr3:uid="{425E98D8-61FF-491A-91B7-C35D75B803E7}" name="# of items handed out" totalsRowFunction="sum" dataDxfId="1635" totalsRowDxfId="1634"/>
    <tableColumn id="12" xr3:uid="{41BD1097-AA24-4F73-B78E-6497EBF381EC}" name="Reimbursement Amount Requested" totalsRowFunction="sum" dataDxfId="1633" totalsRowDxfId="1632" dataCellStyle="Currency"/>
  </tableColumns>
  <tableStyleInfo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1" xr:uid="{12D4D17B-C237-486D-897E-6E06F92221E3}" name="Table132642" displayName="Table132642" ref="A6:G12" totalsRowCount="1" headerRowDxfId="1631" dataDxfId="1630" tableBorderDxfId="1629" totalsRowBorderDxfId="1628">
  <autoFilter ref="A6:G11" xr:uid="{12D4D17B-C237-486D-897E-6E06F92221E3}"/>
  <tableColumns count="7">
    <tableColumn id="1" xr3:uid="{229B690A-2F16-469E-82F2-369C47E52CCC}" name="Activities completed (select from the dropdown list)" totalsRowDxfId="1627"/>
    <tableColumn id="7" xr3:uid="{94886CF7-D256-4D4E-BFCC-D734B70704AD}" name="Describe the activity. What was done? What was the topic? How does this support your strategy? What was the desired outcome of this activity? Please be as descriptive/detailed as possible." dataDxfId="1626" totalsRowDxfId="1625"/>
    <tableColumn id="3" xr3:uid="{E892AEA5-185B-40EF-A024-C45F0AC2DD48}" name="# of hours" totalsRowFunction="custom" dataDxfId="1624" totalsRowDxfId="1623">
      <totalsRowFormula>SUM(Table132642['# of hours])</totalsRowFormula>
    </tableColumn>
    <tableColumn id="9" xr3:uid="{4C610B5A-5A83-473B-8191-782A04DCA8A1}" name="# of people reached" totalsRowFunction="custom" dataDxfId="1622" totalsRowDxfId="1621">
      <totalsRowFormula>SUM(Table132642['# of people reached])</totalsRowFormula>
    </tableColumn>
    <tableColumn id="10" xr3:uid="{3D173923-2943-4473-A5D4-17D1775A1928}" name="# of participants" totalsRowFunction="custom" dataDxfId="1620" totalsRowDxfId="1619">
      <totalsRowFormula>SUM(Table132642['# of participants])</totalsRowFormula>
    </tableColumn>
    <tableColumn id="11" xr3:uid="{D86CCD98-962A-42C7-A02E-5560B5438D10}" name="# of items handed out" totalsRowFunction="sum" dataDxfId="1618" totalsRowDxfId="1617"/>
    <tableColumn id="12" xr3:uid="{2BAE9BB8-4BE3-4D25-A7CF-204010D21C4A}" name="Reimbursement Amount Requested" totalsRowFunction="sum" dataDxfId="1616" totalsRowDxfId="1615" dataCellStyle="Currency"/>
  </tableColumns>
  <tableStyleInfo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2" xr:uid="{50C59BF0-7BCC-489F-9734-05A194901E4B}" name="Table1326643" displayName="Table1326643" ref="A18:G29" totalsRowCount="1" headerRowDxfId="1614" dataDxfId="1613" tableBorderDxfId="1612" totalsRowBorderDxfId="1611">
  <autoFilter ref="A18:G28" xr:uid="{50C59BF0-7BCC-489F-9734-05A194901E4B}"/>
  <tableColumns count="7">
    <tableColumn id="1" xr3:uid="{44921E23-5F95-455F-8428-FBBB824C788F}" name="Activities completed (select from the dropdown list)" totalsRowDxfId="1610"/>
    <tableColumn id="7" xr3:uid="{C5983E5F-9C7B-480D-8D91-6C99026B8A10}" name="Describe the activity. What was done? What was the topic? How does this support your strategy? What was the desired outcome of this activity? Please be as descriptive/detailed as possible." dataDxfId="1609" totalsRowDxfId="1608"/>
    <tableColumn id="3" xr3:uid="{3F35E6F5-E48D-4F3E-BF19-743276BF2C18}" name="# of hours" totalsRowFunction="custom" dataDxfId="1607" totalsRowDxfId="1606">
      <totalsRowFormula>SUM(Table1326643['# of hours])</totalsRowFormula>
    </tableColumn>
    <tableColumn id="9" xr3:uid="{9ADAE240-1696-4A4A-AA87-D6CC51967333}" name="# of people reached" totalsRowFunction="custom" dataDxfId="1605" totalsRowDxfId="1604">
      <totalsRowFormula>SUM(Table1326643['# of people reached])</totalsRowFormula>
    </tableColumn>
    <tableColumn id="10" xr3:uid="{D7DC0678-E0D1-40AB-8A0C-31F3723BB3DE}" name="# of participants" totalsRowFunction="custom" dataDxfId="1603" totalsRowDxfId="1602">
      <totalsRowFormula>SUM(Table1326643['# of participants])</totalsRowFormula>
    </tableColumn>
    <tableColumn id="11" xr3:uid="{94D0F063-DB19-40D1-B2A1-3CAB7E9C0DF3}" name="# of items handed out" totalsRowFunction="sum" dataDxfId="1601" totalsRowDxfId="1600"/>
    <tableColumn id="12" xr3:uid="{7656031D-111B-464C-9982-876C267F652E}" name="Reimbursement Amount Requested" totalsRowFunction="sum" dataDxfId="1599" totalsRowDxfId="1598" dataCellStyle="Currency" totalsRowCellStyle="Currency"/>
  </tableColumns>
  <tableStyleInfo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3" xr:uid="{D7B563BF-70F8-486C-859C-85AFD3855362}" name="Table13267644" displayName="Table13267644" ref="A35:G41" totalsRowCount="1" headerRowDxfId="1597" dataDxfId="1596" tableBorderDxfId="1595" totalsRowBorderDxfId="1594">
  <autoFilter ref="A35:G40" xr:uid="{D7B563BF-70F8-486C-859C-85AFD3855362}"/>
  <tableColumns count="7">
    <tableColumn id="1" xr3:uid="{8638BBCB-FFDF-4644-A53F-CFF7D5590B2A}" name="Activities completed (select from the dropdown list)" totalsRowDxfId="1593"/>
    <tableColumn id="7" xr3:uid="{750D7B5F-8900-47FB-BA6B-EDA6BE40FF27}" name="Describe the activity. What was done? What was the topic? How does this support your strategy? What was the desired outcome of this activity? Please be as descriptive/detailed as possible." dataDxfId="1592" totalsRowDxfId="1591"/>
    <tableColumn id="3" xr3:uid="{582B84EE-69BB-4F50-A5DD-56A973382777}" name="# of hours" totalsRowFunction="custom" dataDxfId="1590" totalsRowDxfId="1589">
      <totalsRowFormula>SUM(Table13267644['# of hours])</totalsRowFormula>
    </tableColumn>
    <tableColumn id="9" xr3:uid="{024B9739-C9A8-45CA-B362-E21831494B94}" name="# of people reached" totalsRowFunction="custom" dataDxfId="1588" totalsRowDxfId="1587">
      <totalsRowFormula>SUM(Table13267644['# of people reached])</totalsRowFormula>
    </tableColumn>
    <tableColumn id="10" xr3:uid="{C3DCE899-47E5-46D6-AC3D-D5AAD4B38A6B}" name="# of participants" totalsRowFunction="custom" dataDxfId="1586" totalsRowDxfId="1585">
      <totalsRowFormula>SUM(Table13267644['# of participants])</totalsRowFormula>
    </tableColumn>
    <tableColumn id="11" xr3:uid="{3DFE7464-8FE5-4BC7-9BD9-5E6FAE7A7267}" name="# of items handed out" totalsRowFunction="sum" dataDxfId="1584" totalsRowDxfId="1583"/>
    <tableColumn id="12" xr3:uid="{1EBC65E0-47A1-4486-A139-22452D419CAF}" name="Reimbursement Amount Requested" totalsRowFunction="sum" dataDxfId="1582" totalsRowDxfId="1581" dataCellStyle="Currency" totalsRowCellStyle="Currency"/>
  </tableColumns>
  <tableStyleInfo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4" xr:uid="{2E3D3007-C8A9-4367-9530-8532E0EBB02E}" name="Table132678645" displayName="Table132678645" ref="A47:G53" totalsRowCount="1" headerRowDxfId="1580" dataDxfId="1579" tableBorderDxfId="1578" totalsRowBorderDxfId="1577">
  <autoFilter ref="A47:G52" xr:uid="{2E3D3007-C8A9-4367-9530-8532E0EBB02E}"/>
  <tableColumns count="7">
    <tableColumn id="1" xr3:uid="{C96A1A7B-2C6E-4B6C-94D6-9001C3DF8EED}" name="Activities completed (select from the dropdown list)" totalsRowDxfId="1576"/>
    <tableColumn id="7" xr3:uid="{A62016D6-FD92-40C0-A8B8-70AA264D41B8}" name="Describe the activity. What was done? What was the topic? How does this support your strategy? What was the desired outcome of this activity? Please be as descriptive/detailed as possible." dataDxfId="1575" totalsRowDxfId="1574"/>
    <tableColumn id="3" xr3:uid="{857DCA34-4E57-4958-9694-7B52B73E30AB}" name="# of hours" totalsRowFunction="custom" dataDxfId="1573" totalsRowDxfId="1572">
      <totalsRowFormula>SUM(Table132678645['# of hours])</totalsRowFormula>
    </tableColumn>
    <tableColumn id="9" xr3:uid="{30FB72A4-DBD1-4A14-AD71-4D74BB342ECC}" name="# of people reached" totalsRowFunction="custom" dataDxfId="1571" totalsRowDxfId="1570">
      <totalsRowFormula>SUM(Table132678645['# of people reached])</totalsRowFormula>
    </tableColumn>
    <tableColumn id="10" xr3:uid="{7A4A54FC-CB3C-4E4D-848A-0E1DBEC38B1E}" name="# of participants" totalsRowFunction="custom" dataDxfId="1569" totalsRowDxfId="1568">
      <totalsRowFormula>SUM(Table132678645['# of participants])</totalsRowFormula>
    </tableColumn>
    <tableColumn id="11" xr3:uid="{CA43ED78-541C-4A7F-8911-5EEB0E14C22B}" name="# of items handed out" totalsRowFunction="sum" dataDxfId="1567" totalsRowDxfId="1566"/>
    <tableColumn id="12" xr3:uid="{963D86E9-7AE5-46FC-B4B7-3294575F7824}" name="Reimbursement Amount Requested" totalsRowFunction="sum" dataDxfId="1565" totalsRowDxfId="1564" dataCellStyle="Currency"/>
  </tableColumns>
  <tableStyleInfo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5" xr:uid="{B49573CC-ABE9-415D-AACD-B404A60EFE52}" name="Table1326789646" displayName="Table1326789646" ref="A59:G62" totalsRowCount="1" headerRowDxfId="1563" dataDxfId="1562" tableBorderDxfId="1561" totalsRowBorderDxfId="1560">
  <autoFilter ref="A59:G61" xr:uid="{B49573CC-ABE9-415D-AACD-B404A60EFE52}"/>
  <tableColumns count="7">
    <tableColumn id="1" xr3:uid="{66AD78B5-AAD4-4C20-9950-931BEE3EEA19}" name="Activities completed (select from the dropdown list)" totalsRowDxfId="1559"/>
    <tableColumn id="7" xr3:uid="{52BE86E7-65CF-47B8-8108-D392258991F1}" name="Describe the activity. What was done? What was the topic? How does this support your strategy? What was the desired outcome of this activity? Please be as descriptive/detailed as possible." dataDxfId="1558" totalsRowDxfId="1557"/>
    <tableColumn id="3" xr3:uid="{A0E9E854-6966-4BAF-B212-3DF76F4BE5FF}" name="# of hours" totalsRowFunction="custom" dataDxfId="1556" totalsRowDxfId="1555">
      <totalsRowFormula>SUM(Table1326789646['# of hours])</totalsRowFormula>
    </tableColumn>
    <tableColumn id="9" xr3:uid="{117092EB-F3A7-42FC-93D9-78483A1BEF0B}" name="# of people reached" totalsRowFunction="custom" dataDxfId="1554" totalsRowDxfId="1553">
      <totalsRowFormula>SUM(Table1326789646['# of people reached])</totalsRowFormula>
    </tableColumn>
    <tableColumn id="10" xr3:uid="{83DA0849-97C0-4AA0-B472-166E380380C3}" name="# of participants" totalsRowFunction="custom" dataDxfId="1552" totalsRowDxfId="1551">
      <totalsRowFormula>SUM(Table1326789646['# of participants])</totalsRowFormula>
    </tableColumn>
    <tableColumn id="11" xr3:uid="{3E990D09-533A-4F2A-8681-F8D35D8C1ECC}" name="# of items handed out" totalsRowFunction="sum" dataDxfId="1550" totalsRowDxfId="1549"/>
    <tableColumn id="12" xr3:uid="{6BEBFC4A-B7AB-418D-B589-61BD507AC313}" name="Reimbursement Amount Requested" totalsRowFunction="sum" dataDxfId="1548" totalsRowDxfId="1547" dataCellStyle="Currency"/>
  </tableColumns>
  <tableStyleInfo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6" xr:uid="{1727581F-2DB1-4241-A890-C4368F951165}" name="Table13267810647" displayName="Table13267810647" ref="A68:G74" totalsRowCount="1" headerRowDxfId="1546" dataDxfId="1545" tableBorderDxfId="1544" totalsRowBorderDxfId="1543">
  <autoFilter ref="A68:G73" xr:uid="{1727581F-2DB1-4241-A890-C4368F951165}"/>
  <tableColumns count="7">
    <tableColumn id="1" xr3:uid="{70A77727-AF6C-4774-A2BF-87EEF1AC6C7B}" name="Activities completed (select from the dropdown list)" totalsRowDxfId="1542"/>
    <tableColumn id="7" xr3:uid="{CACA9813-1888-4FF4-8F5A-5EA3C074FB79}" name="Describe the activity. What was done? What was the topic? How does this support your strategy? What was the desired outcome of this activity? Please be as descriptive/detailed as possible." dataDxfId="1541" totalsRowDxfId="1540"/>
    <tableColumn id="3" xr3:uid="{A27EA96C-7603-44BF-84CA-D3DB2A1DA8E1}" name="# of hours" totalsRowFunction="custom" dataDxfId="1539" totalsRowDxfId="1538">
      <totalsRowFormula>SUM(Table13267810647['# of hours])</totalsRowFormula>
    </tableColumn>
    <tableColumn id="9" xr3:uid="{027D4A9E-F103-4409-86E4-E67E15E761C5}" name="# of people reached" totalsRowFunction="custom" dataDxfId="1537" totalsRowDxfId="1536">
      <totalsRowFormula>SUM(Table13267810647['# of people reached])</totalsRowFormula>
    </tableColumn>
    <tableColumn id="10" xr3:uid="{B5A2EBBC-08CE-49B5-AA40-1A648F42D032}" name="# of participants" totalsRowFunction="custom" dataDxfId="1535" totalsRowDxfId="1534">
      <totalsRowFormula>SUM(Table13267810647['# of participants])</totalsRowFormula>
    </tableColumn>
    <tableColumn id="11" xr3:uid="{51B6EC9C-FD52-47FE-B8EC-248A40158089}" name="# of items handed out" totalsRowFunction="sum" dataDxfId="1533" totalsRowDxfId="1532"/>
    <tableColumn id="12" xr3:uid="{569D4E80-01E5-4313-AF3A-5979910B729A}" name="Reimbursement Amount Requested" totalsRowFunction="sum" dataDxfId="1531" totalsRowDxfId="1530" dataCellStyle="Currency" totalsRowCellStyle="Currency"/>
  </tableColumns>
  <tableStyleInfo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7" xr:uid="{72074B3E-E93B-4C58-A185-F2DDA46199B4}" name="Table1326781011648" displayName="Table1326781011648" ref="A80:G86" totalsRowCount="1" headerRowDxfId="1529" dataDxfId="1528" tableBorderDxfId="1527" totalsRowBorderDxfId="1526">
  <autoFilter ref="A80:G85" xr:uid="{72074B3E-E93B-4C58-A185-F2DDA46199B4}"/>
  <tableColumns count="7">
    <tableColumn id="1" xr3:uid="{8C2D59A9-2B4D-46FD-91CA-E6FB72DF21C7}" name="Activities completed (select from the dropdown list)" totalsRowDxfId="1525"/>
    <tableColumn id="7" xr3:uid="{39916A14-5469-4934-B6E4-A1988C6118A4}" name="Describe the activity. What was done? What was the topic? How does this support your strategy? What was the desired outcome of this activity? Please be as descriptive/detailed as possible." dataDxfId="1524" totalsRowDxfId="1523"/>
    <tableColumn id="3" xr3:uid="{A4FD36BA-E648-48C4-8030-38AA0E4ACA8F}" name="# of hours" totalsRowFunction="custom" dataDxfId="1522" totalsRowDxfId="1521">
      <totalsRowFormula>SUM(Table1326781011648['# of hours])</totalsRowFormula>
    </tableColumn>
    <tableColumn id="9" xr3:uid="{0761831E-D4C0-4DED-83CE-B67DFE6834C7}" name="# of people reached" totalsRowFunction="custom" dataDxfId="1520" totalsRowDxfId="1519">
      <totalsRowFormula>SUM(Table1326781011648['# of people reached])</totalsRowFormula>
    </tableColumn>
    <tableColumn id="10" xr3:uid="{B6A9064A-C627-4178-B0F5-318BC16CA2AB}" name="# of participants" totalsRowFunction="custom" dataDxfId="1518" totalsRowDxfId="1517">
      <totalsRowFormula>SUM(Table1326781011648['# of participants])</totalsRowFormula>
    </tableColumn>
    <tableColumn id="11" xr3:uid="{8143B8AC-563B-410E-9152-507EBDA74723}" name="# of items handed out" totalsRowFunction="sum" dataDxfId="1516" totalsRowDxfId="1515"/>
    <tableColumn id="12" xr3:uid="{38B1B806-BC68-477D-ACE3-B6D8859B4102}" name="Reimbursement Amount Requested" totalsRowFunction="sum" dataDxfId="1514" totalsRowDxfId="1513" dataCellStyle="Currency" totalsRowCellStyle="Currency"/>
  </tableColumns>
  <tableStyleInfo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8" xr:uid="{8B73D3AE-376E-49D4-8607-D1A600E7AE3C}" name="Table132678101112649" displayName="Table132678101112649" ref="A92:G98" totalsRowCount="1" headerRowDxfId="1512" dataDxfId="1511" tableBorderDxfId="1510" totalsRowBorderDxfId="1509">
  <autoFilter ref="A92:G97" xr:uid="{8B73D3AE-376E-49D4-8607-D1A600E7AE3C}"/>
  <tableColumns count="7">
    <tableColumn id="1" xr3:uid="{A29CB4EB-DF51-4BE1-A952-767696EF1907}" name="Activities completed (select from the dropdown list)" totalsRowDxfId="1508"/>
    <tableColumn id="7" xr3:uid="{7D30EBFE-FBFF-4EB7-8D22-540F75D2E32E}" name="Describe the activity. What was done? What was the topic? How does this support your strategy? What was the desired outcome of this activity? Please be as descriptive/detailed as possible." dataDxfId="1507" totalsRowDxfId="1506"/>
    <tableColumn id="3" xr3:uid="{7CE45815-9E18-4B33-9441-A3DE27CAA82B}" name="# of hours" totalsRowFunction="custom" dataDxfId="1505" totalsRowDxfId="1504">
      <totalsRowFormula>SUM(Table132678101112649['# of hours])</totalsRowFormula>
    </tableColumn>
    <tableColumn id="9" xr3:uid="{DF2619BA-11F9-4C15-976F-2E29D7D2508C}" name="# of people reached" totalsRowFunction="custom" dataDxfId="1503" totalsRowDxfId="1502">
      <totalsRowFormula>SUM(Table132678101112649['# of people reached])</totalsRowFormula>
    </tableColumn>
    <tableColumn id="10" xr3:uid="{4904B153-9116-49E8-99DF-C98B0D73B069}" name="# of participants" totalsRowFunction="custom" dataDxfId="1501" totalsRowDxfId="1500">
      <totalsRowFormula>SUM(Table132678101112649['# of participants])</totalsRowFormula>
    </tableColumn>
    <tableColumn id="11" xr3:uid="{37C52B1C-61A9-4871-9265-4C3C6FB143C5}" name="# of items handed out" totalsRowFunction="sum" dataDxfId="1499" totalsRowDxfId="1498"/>
    <tableColumn id="12" xr3:uid="{F1DD9460-99F5-497B-A2F4-7E8E2C6093F7}" name="Reimbursement Amount Requested" totalsRowFunction="sum" dataDxfId="1497" totalsRowDxfId="1496" dataCellStyle="Currency"/>
  </tableColumns>
  <tableStyleInfo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9" xr:uid="{812188D3-E991-4B2B-90B8-D84EB7AE2CBA}" name="Table132650" displayName="Table132650" ref="A6:G12" totalsRowCount="1" headerRowDxfId="1495" dataDxfId="1494" tableBorderDxfId="1493" totalsRowBorderDxfId="1492">
  <autoFilter ref="A6:G11" xr:uid="{812188D3-E991-4B2B-90B8-D84EB7AE2CBA}"/>
  <tableColumns count="7">
    <tableColumn id="1" xr3:uid="{35D081F7-9A53-4C2D-A60C-41FC079B03E3}" name="Activities completed (select from the dropdown list)" totalsRowDxfId="1491"/>
    <tableColumn id="7" xr3:uid="{D2198300-66E7-450E-9195-4E6672F82B64}" name="Describe the activity. What was done? What was the topic? How does this support your strategy? What was the desired outcome of this activity? Please be as descriptive/detailed as possible." dataDxfId="1490" totalsRowDxfId="1489"/>
    <tableColumn id="3" xr3:uid="{D1E51CC9-8B1B-4794-A34F-D10FC09C5F76}" name="# of hours" totalsRowFunction="custom" dataDxfId="1488" totalsRowDxfId="1487">
      <totalsRowFormula>SUM(Table132650['# of hours])</totalsRowFormula>
    </tableColumn>
    <tableColumn id="9" xr3:uid="{6FE82F0F-E362-4651-BEE3-5F916556F20F}" name="# of people reached" totalsRowFunction="custom" dataDxfId="1486" totalsRowDxfId="1485">
      <totalsRowFormula>SUM(Table132650['# of people reached])</totalsRowFormula>
    </tableColumn>
    <tableColumn id="10" xr3:uid="{DF19843E-0FFB-42E3-96C3-D04924236A7A}" name="# of participants" totalsRowFunction="custom" dataDxfId="1484" totalsRowDxfId="1483">
      <totalsRowFormula>SUM(Table132650['# of participants])</totalsRowFormula>
    </tableColumn>
    <tableColumn id="11" xr3:uid="{F4FA343C-05C2-48BA-B854-9CE020546FA5}" name="# of items handed out" totalsRowFunction="sum" dataDxfId="1482" totalsRowDxfId="1481"/>
    <tableColumn id="12" xr3:uid="{98E93F98-59A4-45B1-A88A-09674A2E1DF1}" name="Reimbursement Amount Requested" totalsRowFunction="sum" dataDxfId="1480" totalsRowDxfId="1479" dataCellStyle="Currency"/>
  </tableColumns>
  <tableStyleInfo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0" xr:uid="{FF34CFA7-25F5-459C-954D-F46E26BC2FD6}" name="Table1326651" displayName="Table1326651" ref="A18:G29" totalsRowCount="1" headerRowDxfId="1478" dataDxfId="1477" tableBorderDxfId="1476" totalsRowBorderDxfId="1475">
  <autoFilter ref="A18:G28" xr:uid="{FF34CFA7-25F5-459C-954D-F46E26BC2FD6}"/>
  <tableColumns count="7">
    <tableColumn id="1" xr3:uid="{5540DE25-144E-4412-9761-29889BBB17D9}" name="Activities completed (select from the dropdown list)" totalsRowDxfId="1474"/>
    <tableColumn id="7" xr3:uid="{357C71B0-2E18-4CB3-8C9C-8B46BBCB3D75}" name="Describe the activity. What was done? What was the topic? How does this support your strategy? What was the desired outcome of this activity? Please be as descriptive/detailed as possible." dataDxfId="1473" totalsRowDxfId="1472"/>
    <tableColumn id="3" xr3:uid="{6BE4E86D-0470-41EE-BD8D-95D7263F203C}" name="# of hours" totalsRowFunction="custom" dataDxfId="1471" totalsRowDxfId="1470">
      <totalsRowFormula>SUM(Table1326651['# of hours])</totalsRowFormula>
    </tableColumn>
    <tableColumn id="9" xr3:uid="{D7777EF2-920E-433E-BFBE-4C0AE6F3DC47}" name="# of people reached" totalsRowFunction="custom" dataDxfId="1469" totalsRowDxfId="1468">
      <totalsRowFormula>SUM(Table1326651['# of people reached])</totalsRowFormula>
    </tableColumn>
    <tableColumn id="10" xr3:uid="{7EE0B0B5-859C-4953-97FE-2968C8697D16}" name="# of participants" totalsRowFunction="custom" dataDxfId="1467" totalsRowDxfId="1466">
      <totalsRowFormula>SUM(Table1326651['# of participants])</totalsRowFormula>
    </tableColumn>
    <tableColumn id="11" xr3:uid="{8AE0DFB1-DC1F-43E7-B6AD-6581DE01F156}" name="# of items handed out" totalsRowFunction="sum" dataDxfId="1465" totalsRowDxfId="1464"/>
    <tableColumn id="12" xr3:uid="{523340C0-8A38-43C8-A08B-5A96E499F46D}" name="Reimbursement Amount Requested" totalsRowFunction="sum" dataDxfId="1463" totalsRowDxfId="1462" dataCellStyle="Currency" totalsRowCellStyle="Currency"/>
  </tableColumns>
  <tableStyleInfo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1" xr:uid="{58D4241D-7D2A-4B65-A788-86B72B18B0F7}" name="Table13267652" displayName="Table13267652" ref="A35:G41" totalsRowCount="1" headerRowDxfId="1461" dataDxfId="1460" tableBorderDxfId="1459" totalsRowBorderDxfId="1458">
  <autoFilter ref="A35:G40" xr:uid="{58D4241D-7D2A-4B65-A788-86B72B18B0F7}"/>
  <tableColumns count="7">
    <tableColumn id="1" xr3:uid="{40F90141-263A-4989-ABF3-200F2B6E5821}" name="Activities completed (select from the dropdown list)" totalsRowDxfId="1457"/>
    <tableColumn id="7" xr3:uid="{3369773B-4A31-4AC2-804C-ECB411B6A247}" name="Describe the activity. What was done? What was the topic? How does this support your strategy? What was the desired outcome of this activity? Please be as descriptive/detailed as possible." dataDxfId="1456" totalsRowDxfId="1455"/>
    <tableColumn id="3" xr3:uid="{299D67A4-0C7D-4C13-AEE4-FBD931102F2B}" name="# of hours" totalsRowFunction="custom" dataDxfId="1454" totalsRowDxfId="1453">
      <totalsRowFormula>SUM(Table13267652['# of hours])</totalsRowFormula>
    </tableColumn>
    <tableColumn id="9" xr3:uid="{33DF4BD7-3B89-4CD5-91D2-81A9E03DC9F2}" name="# of people reached" totalsRowFunction="custom" dataDxfId="1452" totalsRowDxfId="1451">
      <totalsRowFormula>SUM(Table13267652['# of people reached])</totalsRowFormula>
    </tableColumn>
    <tableColumn id="10" xr3:uid="{1445A776-2302-46D2-AE4F-40D3D3C6A574}" name="# of participants" totalsRowFunction="custom" dataDxfId="1450" totalsRowDxfId="1449">
      <totalsRowFormula>SUM(Table13267652['# of participants])</totalsRowFormula>
    </tableColumn>
    <tableColumn id="11" xr3:uid="{0248EE5C-28C3-46FE-8CF7-71AA9A45F4EC}" name="# of items handed out" totalsRowFunction="sum" dataDxfId="1448" totalsRowDxfId="1447"/>
    <tableColumn id="12" xr3:uid="{F202580E-7ABF-43AF-BF40-B5592977CEB6}" name="Reimbursement Amount Requested" totalsRowFunction="sum" dataDxfId="1446" totalsRowDxfId="1445" dataCellStyle="Currency" totalsRowCellStyle="Currency"/>
  </tableColumns>
  <tableStyleInfo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2" xr:uid="{04A479F5-9205-46C9-9C8B-3E430F40DFFD}" name="Table132678653" displayName="Table132678653" ref="A47:G53" totalsRowCount="1" headerRowDxfId="1444" dataDxfId="1443" tableBorderDxfId="1442" totalsRowBorderDxfId="1441">
  <autoFilter ref="A47:G52" xr:uid="{04A479F5-9205-46C9-9C8B-3E430F40DFFD}"/>
  <tableColumns count="7">
    <tableColumn id="1" xr3:uid="{6D49922E-ED75-464C-8E3A-4E12BB4F59DF}" name="Activities completed (select from the dropdown list)" totalsRowDxfId="1440"/>
    <tableColumn id="7" xr3:uid="{C5535DEE-E622-48F6-8191-8344C07136A7}" name="Describe the activity. What was done? What was the topic? How does this support your strategy? What was the desired outcome of this activity? Please be as descriptive/detailed as possible." dataDxfId="1439" totalsRowDxfId="1438"/>
    <tableColumn id="3" xr3:uid="{C92D0BC8-6CB2-42D1-8161-B0BB8A5C28EA}" name="# of hours" totalsRowFunction="custom" dataDxfId="1437" totalsRowDxfId="1436">
      <totalsRowFormula>SUM(Table132678653['# of hours])</totalsRowFormula>
    </tableColumn>
    <tableColumn id="9" xr3:uid="{F2CB3918-23D2-42E3-8A81-E023BA3AB34D}" name="# of people reached" totalsRowFunction="custom" dataDxfId="1435" totalsRowDxfId="1434">
      <totalsRowFormula>SUM(Table132678653['# of people reached])</totalsRowFormula>
    </tableColumn>
    <tableColumn id="10" xr3:uid="{FAD5FED0-59FA-4052-B47F-65D42DC1D621}" name="# of participants" totalsRowFunction="custom" dataDxfId="1433" totalsRowDxfId="1432">
      <totalsRowFormula>SUM(Table132678653['# of participants])</totalsRowFormula>
    </tableColumn>
    <tableColumn id="11" xr3:uid="{429E7BD5-7380-4901-9F9C-394C277080BF}" name="# of items handed out" totalsRowFunction="sum" dataDxfId="1431" totalsRowDxfId="1430"/>
    <tableColumn id="12" xr3:uid="{6A798178-4CD1-4DA0-942F-2F4B24E6B972}" name="Reimbursement Amount Requested" totalsRowFunction="sum" dataDxfId="1429" totalsRowDxfId="1428" dataCellStyle="Currency"/>
  </tableColumns>
  <tableStyleInfo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3" xr:uid="{6FAA9AB1-F521-4669-BB76-40B249D322E9}" name="Table1326789654" displayName="Table1326789654" ref="A59:G62" totalsRowCount="1" headerRowDxfId="1427" dataDxfId="1426" tableBorderDxfId="1425" totalsRowBorderDxfId="1424">
  <autoFilter ref="A59:G61" xr:uid="{6FAA9AB1-F521-4669-BB76-40B249D322E9}"/>
  <tableColumns count="7">
    <tableColumn id="1" xr3:uid="{E3A6BB74-EA84-4299-84E5-A2483A50260D}" name="Activities completed (select from the dropdown list)" totalsRowDxfId="1423"/>
    <tableColumn id="7" xr3:uid="{291ADDC3-B71E-4651-B858-6D15BEE922D7}" name="Describe the activity. What was done? What was the topic? How does this support your strategy? What was the desired outcome of this activity? Please be as descriptive/detailed as possible." dataDxfId="1422" totalsRowDxfId="1421"/>
    <tableColumn id="3" xr3:uid="{5228357A-6B34-42D4-A8FC-4A2B67253A50}" name="# of hours" totalsRowFunction="custom" dataDxfId="1420" totalsRowDxfId="1419">
      <totalsRowFormula>SUM(Table1326789654['# of hours])</totalsRowFormula>
    </tableColumn>
    <tableColumn id="9" xr3:uid="{EFE83C60-CCBB-4176-AD22-70F146B368E4}" name="# of people reached" totalsRowFunction="custom" dataDxfId="1418" totalsRowDxfId="1417">
      <totalsRowFormula>SUM(Table1326789654['# of people reached])</totalsRowFormula>
    </tableColumn>
    <tableColumn id="10" xr3:uid="{54C8E937-3136-4A84-8DF4-85F3D3FC0A0F}" name="# of participants" totalsRowFunction="custom" dataDxfId="1416" totalsRowDxfId="1415">
      <totalsRowFormula>SUM(Table1326789654['# of participants])</totalsRowFormula>
    </tableColumn>
    <tableColumn id="11" xr3:uid="{BA77A351-FBA3-4263-9793-9C3A833B3EBF}" name="# of items handed out" totalsRowFunction="sum" dataDxfId="1414" totalsRowDxfId="1413"/>
    <tableColumn id="12" xr3:uid="{3FEBAD88-C5F5-454C-B853-7C009056504A}" name="Reimbursement Amount Requested" totalsRowFunction="sum" dataDxfId="1412" totalsRowDxfId="1411" dataCellStyle="Currency"/>
  </tableColumns>
  <tableStyleInfo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4" xr:uid="{B996E723-48E0-4651-A5E1-340FCFB3DC24}" name="Table13267810655" displayName="Table13267810655" ref="A68:G74" totalsRowCount="1" headerRowDxfId="1410" dataDxfId="1409" tableBorderDxfId="1408" totalsRowBorderDxfId="1407">
  <autoFilter ref="A68:G73" xr:uid="{B996E723-48E0-4651-A5E1-340FCFB3DC24}"/>
  <tableColumns count="7">
    <tableColumn id="1" xr3:uid="{F6BEF0D9-F842-4AE3-BE7B-8322BC188BE7}" name="Activities completed (select from the dropdown list)" totalsRowDxfId="1406"/>
    <tableColumn id="7" xr3:uid="{E7E6186D-C3CE-40AF-B186-1C95C033F235}" name="Describe the activity. What was done? What was the topic? How does this support your strategy? What was the desired outcome of this activity? Please be as descriptive/detailed as possible." dataDxfId="1405" totalsRowDxfId="1404"/>
    <tableColumn id="3" xr3:uid="{98EEEA20-FC39-49DF-8235-FAE81EDA14FC}" name="# of hours" totalsRowFunction="custom" dataDxfId="1403" totalsRowDxfId="1402">
      <totalsRowFormula>SUM(Table13267810655['# of hours])</totalsRowFormula>
    </tableColumn>
    <tableColumn id="9" xr3:uid="{5B2F8EAC-AD02-4932-9BE1-182B07A9C49C}" name="# of people reached" totalsRowFunction="custom" dataDxfId="1401" totalsRowDxfId="1400">
      <totalsRowFormula>SUM(Table13267810655['# of people reached])</totalsRowFormula>
    </tableColumn>
    <tableColumn id="10" xr3:uid="{AFB2B3FC-DF98-4E2F-A98B-F745E1C09E7A}" name="# of participants" totalsRowFunction="custom" dataDxfId="1399" totalsRowDxfId="1398">
      <totalsRowFormula>SUM(Table13267810655['# of participants])</totalsRowFormula>
    </tableColumn>
    <tableColumn id="11" xr3:uid="{2335E00B-18BA-4AAF-A007-9052DA071092}" name="# of items handed out" totalsRowFunction="sum" dataDxfId="1397" totalsRowDxfId="1396"/>
    <tableColumn id="12" xr3:uid="{B836118C-12D3-435D-9283-B9223ADEBCC8}" name="Reimbursement Amount Requested" totalsRowFunction="sum" dataDxfId="1395" totalsRowDxfId="1394" dataCellStyle="Currency" totalsRowCellStyle="Currency"/>
  </tableColumns>
  <tableStyleInfo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5" xr:uid="{79ED7190-71D4-4C39-AA24-06ECE48A4182}" name="Table1326781011656" displayName="Table1326781011656" ref="A80:G86" totalsRowCount="1" headerRowDxfId="1393" dataDxfId="1392" tableBorderDxfId="1391" totalsRowBorderDxfId="1390">
  <autoFilter ref="A80:G85" xr:uid="{79ED7190-71D4-4C39-AA24-06ECE48A4182}"/>
  <tableColumns count="7">
    <tableColumn id="1" xr3:uid="{BD76AFAC-CE84-4330-B6D0-DF4E11416FA1}" name="Activities completed (select from the dropdown list)" totalsRowDxfId="1389"/>
    <tableColumn id="7" xr3:uid="{E699E74E-7FB9-440F-A435-CAFA6B3DD127}" name="Describe the activity. What was done? What was the topic? How does this support your strategy? What was the desired outcome of this activity? Please be as descriptive/detailed as possible." dataDxfId="1388" totalsRowDxfId="1387"/>
    <tableColumn id="3" xr3:uid="{9B00ADF4-D2E7-4B87-8D3E-B95FF83058CA}" name="# of hours" totalsRowFunction="custom" dataDxfId="1386" totalsRowDxfId="1385">
      <totalsRowFormula>SUM(Table1326781011656['# of hours])</totalsRowFormula>
    </tableColumn>
    <tableColumn id="9" xr3:uid="{93676139-D8FA-45B6-8170-41A040CA3282}" name="# of people reached" totalsRowFunction="custom" dataDxfId="1384" totalsRowDxfId="1383">
      <totalsRowFormula>SUM(Table1326781011656['# of people reached])</totalsRowFormula>
    </tableColumn>
    <tableColumn id="10" xr3:uid="{19813211-353D-4EE9-AB56-FA96A84DBEF8}" name="# of participants" totalsRowFunction="custom" dataDxfId="1382" totalsRowDxfId="1381">
      <totalsRowFormula>SUM(Table1326781011656['# of participants])</totalsRowFormula>
    </tableColumn>
    <tableColumn id="11" xr3:uid="{CF20B1E4-595A-4A5E-85EE-FCB9CB3D032B}" name="# of items handed out" totalsRowFunction="sum" dataDxfId="1380" totalsRowDxfId="1379"/>
    <tableColumn id="12" xr3:uid="{286FC6F0-F723-4A1B-9BEC-C91012F4E211}" name="Reimbursement Amount Requested" totalsRowFunction="sum" dataDxfId="1378" totalsRowDxfId="1377" dataCellStyle="Currency" totalsRowCellStyle="Currency"/>
  </tableColumns>
  <tableStyleInfo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6" xr:uid="{47D3E4FD-6FB8-476C-A746-D3AE16F16981}" name="Table132678101112657" displayName="Table132678101112657" ref="A92:G98" totalsRowCount="1" headerRowDxfId="1376" dataDxfId="1375" tableBorderDxfId="1374" totalsRowBorderDxfId="1373">
  <autoFilter ref="A92:G97" xr:uid="{47D3E4FD-6FB8-476C-A746-D3AE16F16981}"/>
  <tableColumns count="7">
    <tableColumn id="1" xr3:uid="{FAA066C9-D9CE-49F6-964E-AA1FF634DC27}" name="Activities completed (select from the dropdown list)" totalsRowDxfId="1372"/>
    <tableColumn id="7" xr3:uid="{E9D21467-EB6D-4CFE-8A53-795DDAB3E086}" name="Describe the activity. What was done? What was the topic? How does this support your strategy? What was the desired outcome of this activity? Please be as descriptive/detailed as possible." dataDxfId="1371" totalsRowDxfId="1370"/>
    <tableColumn id="3" xr3:uid="{E761EA43-E5C5-45A4-BDF0-9A06F4DB3BE7}" name="# of hours" totalsRowFunction="custom" dataDxfId="1369" totalsRowDxfId="1368">
      <totalsRowFormula>SUM(Table132678101112657['# of hours])</totalsRowFormula>
    </tableColumn>
    <tableColumn id="9" xr3:uid="{C6CEB795-1665-48A5-B5BE-58E1DB1D08A1}" name="# of people reached" totalsRowFunction="custom" dataDxfId="1367" totalsRowDxfId="1366">
      <totalsRowFormula>SUM(Table132678101112657['# of people reached])</totalsRowFormula>
    </tableColumn>
    <tableColumn id="10" xr3:uid="{8FE6A87A-980D-4771-85BA-6F8313B2748C}" name="# of participants" totalsRowFunction="custom" dataDxfId="1365" totalsRowDxfId="1364">
      <totalsRowFormula>SUM(Table132678101112657['# of participants])</totalsRowFormula>
    </tableColumn>
    <tableColumn id="11" xr3:uid="{64E3E528-EF35-4A42-8EF1-298318F1AA92}" name="# of items handed out" totalsRowFunction="sum" dataDxfId="1363" totalsRowDxfId="1362"/>
    <tableColumn id="12" xr3:uid="{F9995DE3-33FD-4C04-A350-2A83D7F90414}" name="Reimbursement Amount Requested" totalsRowFunction="sum" dataDxfId="1361" totalsRowDxfId="1360" dataCellStyle="Currency"/>
  </tableColumns>
  <tableStyleInfo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7" xr:uid="{81889ABA-1555-479E-B912-3F3A563E1C30}" name="Table132658" displayName="Table132658" ref="A6:G12" totalsRowCount="1" headerRowDxfId="1359" dataDxfId="1358" tableBorderDxfId="1357" totalsRowBorderDxfId="1356">
  <autoFilter ref="A6:G11" xr:uid="{81889ABA-1555-479E-B912-3F3A563E1C30}"/>
  <tableColumns count="7">
    <tableColumn id="1" xr3:uid="{FD39AE2B-10B0-4F77-91D0-3F8A0F76E0FF}" name="Activities completed (select from the dropdown list)" totalsRowDxfId="1355"/>
    <tableColumn id="7" xr3:uid="{5C39697E-C74A-4E64-AEEC-28DF577A2FDA}" name="Describe the activity. What was done? What was the topic? How does this support your strategy? What was the desired outcome of this activity? Please be as descriptive/detailed as possible." dataDxfId="1354" totalsRowDxfId="1353"/>
    <tableColumn id="3" xr3:uid="{80D528CA-DC17-4759-8C8A-728B8D8AD9DB}" name="# of hours" totalsRowFunction="custom" dataDxfId="1352" totalsRowDxfId="1351">
      <totalsRowFormula>SUM(Table132658['# of hours])</totalsRowFormula>
    </tableColumn>
    <tableColumn id="9" xr3:uid="{2374A690-2D7C-4564-BD03-692705D4B219}" name="# of people reached" totalsRowFunction="custom" dataDxfId="1350" totalsRowDxfId="1349">
      <totalsRowFormula>SUM(Table132658['# of people reached])</totalsRowFormula>
    </tableColumn>
    <tableColumn id="10" xr3:uid="{A7F64617-DEE7-462E-B72B-076EBAA74D5C}" name="# of participants" totalsRowFunction="custom" dataDxfId="1348" totalsRowDxfId="1347">
      <totalsRowFormula>SUM(Table132658['# of participants])</totalsRowFormula>
    </tableColumn>
    <tableColumn id="11" xr3:uid="{62B5476E-157B-4337-B2DB-DA2B9B404696}" name="# of items handed out" totalsRowFunction="sum" dataDxfId="1346" totalsRowDxfId="1345"/>
    <tableColumn id="12" xr3:uid="{B2B36E4D-3BE2-4759-98BB-568F3AF16F8B}" name="Reimbursement Amount Requested" totalsRowFunction="sum" dataDxfId="1344" totalsRowDxfId="1343" dataCellStyle="Currency"/>
  </tableColumns>
  <tableStyleInfo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8" xr:uid="{FA8A1EF2-ABDC-45CE-9E5D-DCCEB245308D}" name="Table1326659" displayName="Table1326659" ref="A18:G29" totalsRowCount="1" headerRowDxfId="1342" dataDxfId="1341" tableBorderDxfId="1340" totalsRowBorderDxfId="1339">
  <autoFilter ref="A18:G28" xr:uid="{FA8A1EF2-ABDC-45CE-9E5D-DCCEB245308D}"/>
  <tableColumns count="7">
    <tableColumn id="1" xr3:uid="{E83B4305-D3D8-431A-B3DD-22B217930456}" name="Activities completed (select from the dropdown list)" totalsRowDxfId="1338"/>
    <tableColumn id="7" xr3:uid="{643D5954-910F-434A-B1D2-B2069C3D29D4}" name="Describe the activity. What was done? What was the topic? How does this support your strategy? What was the desired outcome of this activity? Please be as descriptive/detailed as possible." dataDxfId="1337" totalsRowDxfId="1336"/>
    <tableColumn id="3" xr3:uid="{7CEA601B-2DDC-467B-8C83-01574A9BFB1C}" name="# of hours" totalsRowFunction="custom" dataDxfId="1335" totalsRowDxfId="1334">
      <totalsRowFormula>SUM(Table1326659['# of hours])</totalsRowFormula>
    </tableColumn>
    <tableColumn id="9" xr3:uid="{98B6B198-8772-4ED7-B0CB-FDB86DCFA793}" name="# of people reached" totalsRowFunction="custom" dataDxfId="1333" totalsRowDxfId="1332">
      <totalsRowFormula>SUM(Table1326659['# of people reached])</totalsRowFormula>
    </tableColumn>
    <tableColumn id="10" xr3:uid="{CCB77473-BCFB-45B3-8C90-80C164B1DA20}" name="# of participants" totalsRowFunction="custom" dataDxfId="1331" totalsRowDxfId="1330">
      <totalsRowFormula>SUM(Table1326659['# of participants])</totalsRowFormula>
    </tableColumn>
    <tableColumn id="11" xr3:uid="{87D0A64B-25BC-4AE9-8290-E45F6862D01F}" name="# of items handed out" totalsRowFunction="sum" dataDxfId="1329" totalsRowDxfId="1328"/>
    <tableColumn id="12" xr3:uid="{F4C4AC92-3514-4D7B-9207-CD4D1B7E1FEB}" name="Reimbursement Amount Requested" totalsRowFunction="sum" dataDxfId="1327" totalsRowDxfId="1326" dataCellStyle="Currency" totalsRowCellStyle="Currency"/>
  </tableColumns>
  <tableStyleInfo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9" xr:uid="{BA57CFB4-0725-4EA4-8FA9-BA19769066AF}" name="Table13267660" displayName="Table13267660" ref="A35:G41" totalsRowCount="1" headerRowDxfId="1325" dataDxfId="1324" tableBorderDxfId="1323" totalsRowBorderDxfId="1322">
  <autoFilter ref="A35:G40" xr:uid="{BA57CFB4-0725-4EA4-8FA9-BA19769066AF}"/>
  <tableColumns count="7">
    <tableColumn id="1" xr3:uid="{F4D5DABC-F3C1-4451-B8F0-94672D609583}" name="Activities completed (select from the dropdown list)" totalsRowDxfId="1321"/>
    <tableColumn id="7" xr3:uid="{10049F64-0E03-4F3C-B0D8-32265DC82E05}" name="Describe the activity. What was done? What was the topic? How does this support your strategy? What was the desired outcome of this activity? Please be as descriptive/detailed as possible." dataDxfId="1320" totalsRowDxfId="1319"/>
    <tableColumn id="3" xr3:uid="{DE764FE1-CA17-472D-A3EF-20EED3D7E264}" name="# of hours" totalsRowFunction="custom" dataDxfId="1318" totalsRowDxfId="1317">
      <totalsRowFormula>SUM(Table13267660['# of hours])</totalsRowFormula>
    </tableColumn>
    <tableColumn id="9" xr3:uid="{EFECE338-B533-482D-AEE9-F30F7BE0B367}" name="# of people reached" totalsRowFunction="custom" dataDxfId="1316" totalsRowDxfId="1315">
      <totalsRowFormula>SUM(Table13267660['# of people reached])</totalsRowFormula>
    </tableColumn>
    <tableColumn id="10" xr3:uid="{5989433F-24A9-4D09-A27E-624D8CBFFF33}" name="# of participants" totalsRowFunction="custom" dataDxfId="1314" totalsRowDxfId="1313">
      <totalsRowFormula>SUM(Table13267660['# of participants])</totalsRowFormula>
    </tableColumn>
    <tableColumn id="11" xr3:uid="{5927B9E2-869F-46AC-97A7-1CDBEB75E623}" name="# of items handed out" totalsRowFunction="sum" dataDxfId="1312" totalsRowDxfId="1311"/>
    <tableColumn id="12" xr3:uid="{EFE855A6-F935-468A-9ED3-8397F1E8BFE8}" name="Reimbursement Amount Requested" totalsRowFunction="sum" dataDxfId="1310" totalsRowDxfId="1309" dataCellStyle="Currency" totalsRowCellStyle="Currency"/>
  </tableColumns>
  <tableStyleInfo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0" xr:uid="{EEDDAD59-4298-4703-9694-C5D369CB1131}" name="Table132678661" displayName="Table132678661" ref="A47:G53" totalsRowCount="1" headerRowDxfId="1308" dataDxfId="1307" tableBorderDxfId="1306" totalsRowBorderDxfId="1305">
  <autoFilter ref="A47:G52" xr:uid="{EEDDAD59-4298-4703-9694-C5D369CB1131}"/>
  <tableColumns count="7">
    <tableColumn id="1" xr3:uid="{A44245D0-B78B-460D-8830-420A7FB2C70D}" name="Activities completed (select from the dropdown list)" totalsRowDxfId="1304"/>
    <tableColumn id="7" xr3:uid="{6D7469DE-5220-405F-884A-20A6007D05BB}" name="Describe the activity. What was done? What was the topic? How does this support your strategy? What was the desired outcome of this activity? Please be as descriptive/detailed as possible." dataDxfId="1303" totalsRowDxfId="1302"/>
    <tableColumn id="3" xr3:uid="{35D77244-8D1F-4C72-8843-001B47E0EDFD}" name="# of hours" totalsRowFunction="custom" dataDxfId="1301" totalsRowDxfId="1300">
      <totalsRowFormula>SUM(Table132678661['# of hours])</totalsRowFormula>
    </tableColumn>
    <tableColumn id="9" xr3:uid="{5B9C2CBB-DA0D-4D3D-94EE-A79F8A6877A8}" name="# of people reached" totalsRowFunction="custom" dataDxfId="1299" totalsRowDxfId="1298">
      <totalsRowFormula>SUM(Table132678661['# of people reached])</totalsRowFormula>
    </tableColumn>
    <tableColumn id="10" xr3:uid="{52F74C5C-AD29-496B-B324-B9DBDC45523D}" name="# of participants" totalsRowFunction="custom" dataDxfId="1297" totalsRowDxfId="1296">
      <totalsRowFormula>SUM(Table132678661['# of participants])</totalsRowFormula>
    </tableColumn>
    <tableColumn id="11" xr3:uid="{64326996-6143-40CE-B324-62FC4A47BC1B}" name="# of items handed out" totalsRowFunction="sum" dataDxfId="1295" totalsRowDxfId="1294"/>
    <tableColumn id="12" xr3:uid="{6D58BBDB-2963-4209-991D-746A91BD0C4B}" name="Reimbursement Amount Requested" totalsRowFunction="sum" dataDxfId="1293" totalsRowDxfId="1292" dataCellStyle="Currency"/>
  </tableColumns>
  <tableStyleInfo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1" xr:uid="{7963545D-5AB2-4BAA-BB8E-78A6666D2553}" name="Table1326789662" displayName="Table1326789662" ref="A59:G62" totalsRowCount="1" headerRowDxfId="1291" dataDxfId="1290" tableBorderDxfId="1289" totalsRowBorderDxfId="1288">
  <autoFilter ref="A59:G61" xr:uid="{7963545D-5AB2-4BAA-BB8E-78A6666D2553}"/>
  <tableColumns count="7">
    <tableColumn id="1" xr3:uid="{1FDE224A-B7EE-490F-8288-4CE6C06E7F7C}" name="Activities completed (select from the dropdown list)" totalsRowDxfId="1287"/>
    <tableColumn id="7" xr3:uid="{1EDBDBC7-7171-47C0-9B5D-55328833104C}" name="Describe the activity. What was done? What was the topic? How does this support your strategy? What was the desired outcome of this activity? Please be as descriptive/detailed as possible." dataDxfId="1286" totalsRowDxfId="1285"/>
    <tableColumn id="3" xr3:uid="{CD0C8925-205A-439B-BA63-E5C6754C1C4A}" name="# of hours" totalsRowFunction="custom" dataDxfId="1284" totalsRowDxfId="1283">
      <totalsRowFormula>SUM(Table1326789662['# of hours])</totalsRowFormula>
    </tableColumn>
    <tableColumn id="9" xr3:uid="{3CBF8404-BB4D-4B9D-857D-43D42C04E6F7}" name="# of people reached" totalsRowFunction="custom" dataDxfId="1282" totalsRowDxfId="1281">
      <totalsRowFormula>SUM(Table1326789662['# of people reached])</totalsRowFormula>
    </tableColumn>
    <tableColumn id="10" xr3:uid="{4E6246DC-78BE-4011-BEFF-2AF4A116AD56}" name="# of participants" totalsRowFunction="custom" dataDxfId="1280" totalsRowDxfId="1279">
      <totalsRowFormula>SUM(Table1326789662['# of participants])</totalsRowFormula>
    </tableColumn>
    <tableColumn id="11" xr3:uid="{20D4B386-B636-4DAC-BEE5-CD1FF60D8C51}" name="# of items handed out" totalsRowFunction="sum" dataDxfId="1278" totalsRowDxfId="1277"/>
    <tableColumn id="12" xr3:uid="{1CE0E22B-F61C-4B22-8D0D-7644CE99A7BC}" name="Reimbursement Amount Requested" totalsRowFunction="sum" dataDxfId="1276" totalsRowDxfId="1275" dataCellStyle="Currency"/>
  </tableColumns>
  <tableStyleInfo showFirstColumn="0"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2" xr:uid="{867B3503-BEB2-4083-8612-E0B0A0F51554}" name="Table13267810663" displayName="Table13267810663" ref="A68:G74" totalsRowCount="1" headerRowDxfId="1274" dataDxfId="1273" tableBorderDxfId="1272" totalsRowBorderDxfId="1271">
  <autoFilter ref="A68:G73" xr:uid="{867B3503-BEB2-4083-8612-E0B0A0F51554}"/>
  <tableColumns count="7">
    <tableColumn id="1" xr3:uid="{020B3C17-54A0-43FE-A22B-EE8675D30BD0}" name="Activities completed (select from the dropdown list)" totalsRowDxfId="1270"/>
    <tableColumn id="7" xr3:uid="{D1CE2158-096B-4AE8-92CD-E5D014A1FD9A}" name="Describe the activity. What was done? What was the topic? How does this support your strategy? What was the desired outcome of this activity? Please be as descriptive/detailed as possible." dataDxfId="1269" totalsRowDxfId="1268"/>
    <tableColumn id="3" xr3:uid="{8DCA91B6-2C56-490B-A7B5-616AB8794A94}" name="# of hours" totalsRowFunction="custom" dataDxfId="1267" totalsRowDxfId="1266">
      <totalsRowFormula>SUM(Table13267810663['# of hours])</totalsRowFormula>
    </tableColumn>
    <tableColumn id="9" xr3:uid="{DA2DE41B-6288-48D3-8131-BDADEE0FB754}" name="# of people reached" totalsRowFunction="custom" dataDxfId="1265" totalsRowDxfId="1264">
      <totalsRowFormula>SUM(Table13267810663['# of people reached])</totalsRowFormula>
    </tableColumn>
    <tableColumn id="10" xr3:uid="{3AD2748F-A564-4FB8-81B1-9C27E66210F4}" name="# of participants" totalsRowFunction="custom" dataDxfId="1263" totalsRowDxfId="1262">
      <totalsRowFormula>SUM(Table13267810663['# of participants])</totalsRowFormula>
    </tableColumn>
    <tableColumn id="11" xr3:uid="{CB866271-883A-4F1D-B613-FACD6B02ADB8}" name="# of items handed out" totalsRowFunction="sum" dataDxfId="1261" totalsRowDxfId="1260"/>
    <tableColumn id="12" xr3:uid="{AB2C64DF-E9F1-473A-9CE2-9FB176A56CD3}" name="Reimbursement Amount Requested" totalsRowFunction="sum" dataDxfId="1259" totalsRowDxfId="1258" dataCellStyle="Currency" totalsRowCellStyle="Currency"/>
  </tableColumns>
  <tableStyleInfo showFirstColumn="0" showLastColumn="0" showRowStripes="1"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3" xr:uid="{8CBB789D-4963-4371-A01C-B81841FDC71F}" name="Table1326781011664" displayName="Table1326781011664" ref="A80:G86" totalsRowCount="1" headerRowDxfId="1257" dataDxfId="1256" tableBorderDxfId="1255" totalsRowBorderDxfId="1254">
  <autoFilter ref="A80:G85" xr:uid="{8CBB789D-4963-4371-A01C-B81841FDC71F}"/>
  <tableColumns count="7">
    <tableColumn id="1" xr3:uid="{F640A65D-1071-45C0-9BAD-267B8ECE65D0}" name="Activities completed (select from the dropdown list)" totalsRowDxfId="1253"/>
    <tableColumn id="7" xr3:uid="{47D1A1C8-45D5-48D7-9B17-6F21F2071BAC}" name="Describe the activity. What was done? What was the topic? How does this support your strategy? What was the desired outcome of this activity? Please be as descriptive/detailed as possible." dataDxfId="1252" totalsRowDxfId="1251"/>
    <tableColumn id="3" xr3:uid="{C173A8D7-ACB4-429F-9943-91B1F3967A6A}" name="# of hours" totalsRowFunction="custom" dataDxfId="1250" totalsRowDxfId="1249">
      <totalsRowFormula>SUM(Table1326781011664['# of hours])</totalsRowFormula>
    </tableColumn>
    <tableColumn id="9" xr3:uid="{74A3F4F5-E0F5-44A6-82A3-F2B9D3FE20A8}" name="# of people reached" totalsRowFunction="custom" dataDxfId="1248" totalsRowDxfId="1247">
      <totalsRowFormula>SUM(Table1326781011664['# of people reached])</totalsRowFormula>
    </tableColumn>
    <tableColumn id="10" xr3:uid="{9A9EFE05-71AC-4139-B239-0D21C100F5C7}" name="# of participants" totalsRowFunction="custom" dataDxfId="1246" totalsRowDxfId="1245">
      <totalsRowFormula>SUM(Table1326781011664['# of participants])</totalsRowFormula>
    </tableColumn>
    <tableColumn id="11" xr3:uid="{3118F8EE-2D1F-4DE5-98D2-64442DEE8547}" name="# of items handed out" totalsRowFunction="sum" dataDxfId="1244" totalsRowDxfId="1243"/>
    <tableColumn id="12" xr3:uid="{223DAF3E-72EB-4F48-8932-88CBBD4794C7}" name="Reimbursement Amount Requested" totalsRowFunction="sum" dataDxfId="1242" totalsRowDxfId="1241" dataCellStyle="Currency" totalsRowCellStyle="Currency"/>
  </tableColumns>
  <tableStyleInfo showFirstColumn="0" showLastColumn="0" showRowStripes="1"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4" xr:uid="{206B6263-9733-4FA6-91EB-84D825221C97}" name="Table132678101112665" displayName="Table132678101112665" ref="A92:G98" totalsRowCount="1" headerRowDxfId="1240" dataDxfId="1239" tableBorderDxfId="1238" totalsRowBorderDxfId="1237">
  <autoFilter ref="A92:G97" xr:uid="{206B6263-9733-4FA6-91EB-84D825221C97}"/>
  <tableColumns count="7">
    <tableColumn id="1" xr3:uid="{9DF2C5A9-ACD2-4D00-AFA9-8C036A878FA3}" name="Activities completed (select from the dropdown list)" totalsRowDxfId="1236"/>
    <tableColumn id="7" xr3:uid="{49EC9298-3DCB-47B7-80D4-3C02AB8A29F6}" name="Describe the activity. What was done? What was the topic? How does this support your strategy? What was the desired outcome of this activity? Please be as descriptive/detailed as possible." dataDxfId="1235" totalsRowDxfId="1234"/>
    <tableColumn id="3" xr3:uid="{C6C64A43-47EB-478A-8700-C733B9DBDF57}" name="# of hours" totalsRowFunction="custom" dataDxfId="1233" totalsRowDxfId="1232">
      <totalsRowFormula>SUM(Table132678101112665['# of hours])</totalsRowFormula>
    </tableColumn>
    <tableColumn id="9" xr3:uid="{AA0FFBD2-A725-4A3C-8F71-747309924219}" name="# of people reached" totalsRowFunction="custom" dataDxfId="1231" totalsRowDxfId="1230">
      <totalsRowFormula>SUM(Table132678101112665['# of people reached])</totalsRowFormula>
    </tableColumn>
    <tableColumn id="10" xr3:uid="{E1615B2C-4DD5-4CBA-9445-B9BCB6BA243E}" name="# of participants" totalsRowFunction="custom" dataDxfId="1229" totalsRowDxfId="1228">
      <totalsRowFormula>SUM(Table132678101112665['# of participants])</totalsRowFormula>
    </tableColumn>
    <tableColumn id="11" xr3:uid="{086F10DE-993A-4EBA-AB55-3EAC746AE803}" name="# of items handed out" totalsRowFunction="sum" dataDxfId="1227" totalsRowDxfId="1226"/>
    <tableColumn id="12" xr3:uid="{D8E3B138-1B44-469D-8E03-A1D62F82DAB0}" name="Reimbursement Amount Requested" totalsRowFunction="sum" dataDxfId="1225" totalsRowDxfId="1224" dataCellStyle="Currency"/>
  </tableColumns>
  <tableStyleInfo showFirstColumn="0" showLastColumn="0" showRowStripes="1"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5" xr:uid="{00F514B0-444B-4F7C-8A35-6203A06C49E5}" name="Table132666" displayName="Table132666" ref="A6:G12" totalsRowCount="1" headerRowDxfId="1223" dataDxfId="1222" tableBorderDxfId="1221" totalsRowBorderDxfId="1220">
  <autoFilter ref="A6:G11" xr:uid="{00F514B0-444B-4F7C-8A35-6203A06C49E5}"/>
  <tableColumns count="7">
    <tableColumn id="1" xr3:uid="{24351599-C352-4DEF-A986-DAC43C931B9F}" name="Activities completed (select from the dropdown list)" totalsRowDxfId="1219"/>
    <tableColumn id="7" xr3:uid="{7B2F674C-B5A7-4D51-B2B3-7F2FF7F7EB66}" name="Describe the activity. What was done? What was the topic? How does this support your strategy? What was the desired outcome of this activity? Please be as descriptive/detailed as possible." dataDxfId="1218" totalsRowDxfId="1217"/>
    <tableColumn id="3" xr3:uid="{202C05D9-2421-4900-AD94-5833B7466E02}" name="# of hours" totalsRowFunction="custom" dataDxfId="1216" totalsRowDxfId="1215">
      <totalsRowFormula>SUM(Table132666['# of hours])</totalsRowFormula>
    </tableColumn>
    <tableColumn id="9" xr3:uid="{CE6C13FE-6664-4288-8464-C22759E3E538}" name="# of people reached" totalsRowFunction="custom" dataDxfId="1214" totalsRowDxfId="1213">
      <totalsRowFormula>SUM(Table132666['# of people reached])</totalsRowFormula>
    </tableColumn>
    <tableColumn id="10" xr3:uid="{A144B013-E0C3-42A5-98C1-86E03B324C6E}" name="# of participants" totalsRowFunction="custom" dataDxfId="1212" totalsRowDxfId="1211">
      <totalsRowFormula>SUM(Table132666['# of participants])</totalsRowFormula>
    </tableColumn>
    <tableColumn id="11" xr3:uid="{2C91D667-548A-45B4-A10B-CD775805CD91}" name="# of items handed out" totalsRowFunction="sum" dataDxfId="1210" totalsRowDxfId="1209"/>
    <tableColumn id="12" xr3:uid="{72F54F0E-4CF2-4CE4-A628-AE7A2EC50043}" name="Reimbursement Amount Requested" totalsRowFunction="sum" dataDxfId="1208" totalsRowDxfId="1207" dataCellStyle="Currency"/>
  </tableColumns>
  <tableStyleInfo showFirstColumn="0" showLastColumn="0" showRowStripes="1"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6" xr:uid="{20CDCECD-429B-42F6-8E73-5D636110BF8A}" name="Table1326667" displayName="Table1326667" ref="A18:G29" totalsRowCount="1" headerRowDxfId="1206" dataDxfId="1205" tableBorderDxfId="1204" totalsRowBorderDxfId="1203">
  <autoFilter ref="A18:G28" xr:uid="{20CDCECD-429B-42F6-8E73-5D636110BF8A}"/>
  <tableColumns count="7">
    <tableColumn id="1" xr3:uid="{78EB630A-6186-4FDD-9891-BFE32ABDB429}" name="Activities completed (select from the dropdown list)" totalsRowDxfId="1202"/>
    <tableColumn id="7" xr3:uid="{B20C77F7-1724-489A-89FB-B5146FDECFF0}" name="Describe the activity. What was done? What was the topic? How does this support your strategy? What was the desired outcome of this activity? Please be as descriptive/detailed as possible." dataDxfId="1201" totalsRowDxfId="1200"/>
    <tableColumn id="3" xr3:uid="{BF61ABF3-9EB3-4D70-840D-80B1D75B60F9}" name="# of hours" totalsRowFunction="custom" dataDxfId="1199" totalsRowDxfId="1198">
      <totalsRowFormula>SUM(Table1326667['# of hours])</totalsRowFormula>
    </tableColumn>
    <tableColumn id="9" xr3:uid="{EB108F45-EFB0-40F5-8723-9F8B9E53D782}" name="# of people reached" totalsRowFunction="custom" dataDxfId="1197" totalsRowDxfId="1196">
      <totalsRowFormula>SUM(Table1326667['# of people reached])</totalsRowFormula>
    </tableColumn>
    <tableColumn id="10" xr3:uid="{369DB3CA-65E7-4185-99F8-3C9AA8321A19}" name="# of participants" totalsRowFunction="custom" dataDxfId="1195" totalsRowDxfId="1194">
      <totalsRowFormula>SUM(Table1326667['# of participants])</totalsRowFormula>
    </tableColumn>
    <tableColumn id="11" xr3:uid="{18B9AF9B-F4AF-4652-A05B-68CF6ACA335B}" name="# of items handed out" totalsRowFunction="sum" dataDxfId="1193" totalsRowDxfId="1192"/>
    <tableColumn id="12" xr3:uid="{99E82EA6-1AA8-465B-B044-69846A39CD71}" name="Reimbursement Amount Requested" totalsRowFunction="sum" dataDxfId="1191" totalsRowDxfId="1190" dataCellStyle="Currency" totalsRowCellStyle="Currency"/>
  </tableColumns>
  <tableStyleInfo showFirstColumn="0" showLastColumn="0" showRowStripes="1"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7" xr:uid="{81AEF73A-7644-410E-A595-5A6726E363EC}" name="Table13267668" displayName="Table13267668" ref="A35:G41" totalsRowCount="1" headerRowDxfId="1189" dataDxfId="1188" tableBorderDxfId="1187" totalsRowBorderDxfId="1186">
  <autoFilter ref="A35:G40" xr:uid="{81AEF73A-7644-410E-A595-5A6726E363EC}"/>
  <tableColumns count="7">
    <tableColumn id="1" xr3:uid="{73D13CC4-C417-4BC3-8A9F-228356E433D3}" name="Activities completed (select from the dropdown list)" totalsRowDxfId="1185"/>
    <tableColumn id="7" xr3:uid="{884AFC61-7F80-4370-871C-30FF8276B85B}" name="Describe the activity. What was done? What was the topic? How does this support your strategy? What was the desired outcome of this activity? Please be as descriptive/detailed as possible." dataDxfId="1184" totalsRowDxfId="1183"/>
    <tableColumn id="3" xr3:uid="{DA5D70E8-14FA-4BA6-9468-DA7B3D21D65B}" name="# of hours" totalsRowFunction="custom" dataDxfId="1182" totalsRowDxfId="1181">
      <totalsRowFormula>SUM(Table13267668['# of hours])</totalsRowFormula>
    </tableColumn>
    <tableColumn id="9" xr3:uid="{9DB260CA-3190-402E-A990-3A28F155E853}" name="# of people reached" totalsRowFunction="custom" dataDxfId="1180" totalsRowDxfId="1179">
      <totalsRowFormula>SUM(Table13267668['# of people reached])</totalsRowFormula>
    </tableColumn>
    <tableColumn id="10" xr3:uid="{3CB31EEB-DFF9-4D21-B279-28CC8D1CECF0}" name="# of participants" totalsRowFunction="custom" dataDxfId="1178" totalsRowDxfId="1177">
      <totalsRowFormula>SUM(Table13267668['# of participants])</totalsRowFormula>
    </tableColumn>
    <tableColumn id="11" xr3:uid="{F7DE86D8-2E15-48A0-A0ED-B52EF55BED3E}" name="# of items handed out" totalsRowFunction="sum" dataDxfId="1176" totalsRowDxfId="1175"/>
    <tableColumn id="12" xr3:uid="{A7E6FC97-E91B-4D6A-96C4-4EFC524375F4}" name="Reimbursement Amount Requested" totalsRowFunction="sum" dataDxfId="1174" totalsRowDxfId="1173" dataCellStyle="Currency" totalsRowCellStyle="Currency"/>
  </tableColumns>
  <tableStyleInfo showFirstColumn="0" showLastColumn="0" showRowStripes="1"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8" xr:uid="{EAC523AF-8839-4B9D-ACC6-EEF74776E285}" name="Table132678669" displayName="Table132678669" ref="A47:G53" totalsRowCount="1" headerRowDxfId="1172" dataDxfId="1171" tableBorderDxfId="1170" totalsRowBorderDxfId="1169">
  <autoFilter ref="A47:G52" xr:uid="{EAC523AF-8839-4B9D-ACC6-EEF74776E285}"/>
  <tableColumns count="7">
    <tableColumn id="1" xr3:uid="{A11A542D-C6AF-4D36-BE24-C1791ED3C21E}" name="Activities completed (select from the dropdown list)" totalsRowDxfId="1168"/>
    <tableColumn id="7" xr3:uid="{1C9474C3-B316-480B-A698-5EA9BCC9E1E2}" name="Describe the activity. What was done? What was the topic? How does this support your strategy? What was the desired outcome of this activity? Please be as descriptive/detailed as possible." dataDxfId="1167" totalsRowDxfId="1166"/>
    <tableColumn id="3" xr3:uid="{928114C2-71DB-4BDF-96CC-93727B519547}" name="# of hours" totalsRowFunction="custom" dataDxfId="1165" totalsRowDxfId="1164">
      <totalsRowFormula>SUM(Table132678669['# of hours])</totalsRowFormula>
    </tableColumn>
    <tableColumn id="9" xr3:uid="{E544D82D-ADFF-4F94-A797-5762D61F788B}" name="# of people reached" totalsRowFunction="custom" dataDxfId="1163" totalsRowDxfId="1162">
      <totalsRowFormula>SUM(Table132678669['# of people reached])</totalsRowFormula>
    </tableColumn>
    <tableColumn id="10" xr3:uid="{24992C3C-7B52-4C5E-A174-7E7C498931B5}" name="# of participants" totalsRowFunction="custom" dataDxfId="1161" totalsRowDxfId="1160">
      <totalsRowFormula>SUM(Table132678669['# of participants])</totalsRowFormula>
    </tableColumn>
    <tableColumn id="11" xr3:uid="{5CC4633E-6F9D-4E3B-99EF-85E35465171D}" name="# of items handed out" totalsRowFunction="sum" dataDxfId="1159" totalsRowDxfId="1158"/>
    <tableColumn id="12" xr3:uid="{8E20D4F1-7029-4EF0-BE3B-DC4E4D48EF9E}" name="Reimbursement Amount Requested" totalsRowFunction="sum" dataDxfId="1157" totalsRowDxfId="1156" dataCellStyle="Currency"/>
  </tableColumns>
  <tableStyleInfo showFirstColumn="0" showLastColumn="0" showRowStripes="1"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9" xr:uid="{2A63035A-AB99-4DC9-A815-4F9CDAD775B7}" name="Table1326789670" displayName="Table1326789670" ref="A59:G62" totalsRowCount="1" headerRowDxfId="1155" dataDxfId="1154" tableBorderDxfId="1153" totalsRowBorderDxfId="1152">
  <autoFilter ref="A59:G61" xr:uid="{2A63035A-AB99-4DC9-A815-4F9CDAD775B7}"/>
  <tableColumns count="7">
    <tableColumn id="1" xr3:uid="{E8B9474C-CF9C-41DB-8355-0C9C2A0125C4}" name="Activities completed (select from the dropdown list)" totalsRowDxfId="1151"/>
    <tableColumn id="7" xr3:uid="{A720490E-DF42-4FC1-B8DA-F00A92ACF07F}" name="Describe the activity. What was done? What was the topic? How does this support your strategy? What was the desired outcome of this activity? Please be as descriptive/detailed as possible." dataDxfId="1150" totalsRowDxfId="1149"/>
    <tableColumn id="3" xr3:uid="{67B31F80-55FE-4399-9B9B-5A1FE3601554}" name="# of hours" totalsRowFunction="custom" dataDxfId="1148" totalsRowDxfId="1147">
      <totalsRowFormula>SUM(Table1326789670['# of hours])</totalsRowFormula>
    </tableColumn>
    <tableColumn id="9" xr3:uid="{EDC1F53C-4798-44D3-90C1-424E449A79AA}" name="# of people reached" totalsRowFunction="custom" dataDxfId="1146" totalsRowDxfId="1145">
      <totalsRowFormula>SUM(Table1326789670['# of people reached])</totalsRowFormula>
    </tableColumn>
    <tableColumn id="10" xr3:uid="{FDEFB2F4-A0CF-4419-A50F-D5FC08B6EF84}" name="# of participants" totalsRowFunction="custom" dataDxfId="1144" totalsRowDxfId="1143">
      <totalsRowFormula>SUM(Table1326789670['# of participants])</totalsRowFormula>
    </tableColumn>
    <tableColumn id="11" xr3:uid="{A5162E16-342A-41B2-9421-F5515EE62DB1}" name="# of items handed out" totalsRowFunction="sum" dataDxfId="1142" totalsRowDxfId="1141"/>
    <tableColumn id="12" xr3:uid="{01EC541E-1005-43A1-9943-C94F4BFEA12E}" name="Reimbursement Amount Requested" totalsRowFunction="sum" dataDxfId="1140" totalsRowDxfId="1139" dataCellStyle="Currency"/>
  </tableColumns>
  <tableStyleInfo showFirstColumn="0" showLastColumn="0" showRowStripes="1"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0" xr:uid="{34D80435-A2B2-42DE-B75B-917BBE38B1A3}" name="Table13267810671" displayName="Table13267810671" ref="A68:G74" totalsRowCount="1" headerRowDxfId="1138" dataDxfId="1137" tableBorderDxfId="1136" totalsRowBorderDxfId="1135">
  <autoFilter ref="A68:G73" xr:uid="{34D80435-A2B2-42DE-B75B-917BBE38B1A3}"/>
  <tableColumns count="7">
    <tableColumn id="1" xr3:uid="{911483E8-C5DF-4D22-8257-BB6954AA1127}" name="Activities completed (select from the dropdown list)" totalsRowDxfId="1134"/>
    <tableColumn id="7" xr3:uid="{785E836A-933A-42CC-999F-2B8E1482198A}" name="Describe the activity. What was done? What was the topic? How does this support your strategy? What was the desired outcome of this activity? Please be as descriptive/detailed as possible." dataDxfId="1133" totalsRowDxfId="1132"/>
    <tableColumn id="3" xr3:uid="{7DB51ABE-4FC5-4FE5-96A6-9DF23165D011}" name="# of hours" totalsRowFunction="custom" dataDxfId="1131" totalsRowDxfId="1130">
      <totalsRowFormula>SUM(Table13267810671['# of hours])</totalsRowFormula>
    </tableColumn>
    <tableColumn id="9" xr3:uid="{A955DEC8-4456-42B1-8CAA-8605C99957A2}" name="# of people reached" totalsRowFunction="custom" dataDxfId="1129" totalsRowDxfId="1128">
      <totalsRowFormula>SUM(Table13267810671['# of people reached])</totalsRowFormula>
    </tableColumn>
    <tableColumn id="10" xr3:uid="{52857178-5814-479A-8D7B-E3AF79737656}" name="# of participants" totalsRowFunction="custom" dataDxfId="1127" totalsRowDxfId="1126">
      <totalsRowFormula>SUM(Table13267810671['# of participants])</totalsRowFormula>
    </tableColumn>
    <tableColumn id="11" xr3:uid="{90519FF0-953B-41DA-A249-9DF3BD5BD6AB}" name="# of items handed out" totalsRowFunction="sum" dataDxfId="1125" totalsRowDxfId="1124"/>
    <tableColumn id="12" xr3:uid="{031CA803-44FF-477D-BAF5-82C8017A34E1}" name="Reimbursement Amount Requested" totalsRowFunction="sum" dataDxfId="1123" totalsRowDxfId="1122" dataCellStyle="Currency" totalsRowCellStyle="Currency"/>
  </tableColumns>
  <tableStyleInfo showFirstColumn="0" showLastColumn="0" showRowStripes="1"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1" xr:uid="{00693759-9193-4397-AF1E-C81AA32B36FD}" name="Table1326781011672" displayName="Table1326781011672" ref="A80:G86" totalsRowCount="1" headerRowDxfId="1121" dataDxfId="1120" tableBorderDxfId="1119" totalsRowBorderDxfId="1118">
  <autoFilter ref="A80:G85" xr:uid="{00693759-9193-4397-AF1E-C81AA32B36FD}"/>
  <tableColumns count="7">
    <tableColumn id="1" xr3:uid="{265D5EDC-3E8D-4444-83D0-2A4E18CE1B1D}" name="Activities completed (select from the dropdown list)" totalsRowDxfId="1117"/>
    <tableColumn id="7" xr3:uid="{6921E1CF-D3BF-405D-A63A-9A37B42739AE}" name="Describe the activity. What was done? What was the topic? How does this support your strategy? What was the desired outcome of this activity? Please be as descriptive/detailed as possible." dataDxfId="1116" totalsRowDxfId="1115"/>
    <tableColumn id="3" xr3:uid="{6EC26D8C-B3E0-4CCA-8BA4-13DBA84AADBB}" name="# of hours" totalsRowFunction="custom" dataDxfId="1114" totalsRowDxfId="1113">
      <totalsRowFormula>SUM(Table1326781011672['# of hours])</totalsRowFormula>
    </tableColumn>
    <tableColumn id="9" xr3:uid="{657BB391-DBA5-44B5-9AFD-6B582792A539}" name="# of people reached" totalsRowFunction="custom" dataDxfId="1112" totalsRowDxfId="1111">
      <totalsRowFormula>SUM(Table1326781011672['# of people reached])</totalsRowFormula>
    </tableColumn>
    <tableColumn id="10" xr3:uid="{E4CE13AA-D574-4019-94EA-22025F5FF2C6}" name="# of participants" totalsRowFunction="custom" dataDxfId="1110" totalsRowDxfId="1109">
      <totalsRowFormula>SUM(Table1326781011672['# of participants])</totalsRowFormula>
    </tableColumn>
    <tableColumn id="11" xr3:uid="{757A8343-D1BA-45CF-8636-01E9303CC281}" name="# of items handed out" totalsRowFunction="sum" dataDxfId="1108" totalsRowDxfId="1107"/>
    <tableColumn id="12" xr3:uid="{6B2CBFB0-D0D0-4E57-AA8A-9964C6ACD7A0}" name="Reimbursement Amount Requested" totalsRowFunction="sum" dataDxfId="1106" totalsRowDxfId="1105" dataCellStyle="Currency" totalsRowCellStyle="Currency"/>
  </tableColumns>
  <tableStyleInfo showFirstColumn="0" showLastColumn="0" showRowStripes="1"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2" xr:uid="{9EA0E629-B33C-488A-80A0-0961345F2FD6}" name="Table132678101112673" displayName="Table132678101112673" ref="A92:G98" totalsRowCount="1" headerRowDxfId="1104" dataDxfId="1103" tableBorderDxfId="1102" totalsRowBorderDxfId="1101">
  <autoFilter ref="A92:G97" xr:uid="{9EA0E629-B33C-488A-80A0-0961345F2FD6}"/>
  <tableColumns count="7">
    <tableColumn id="1" xr3:uid="{5FA3E6CA-EE46-4D12-8478-034B3DC18E6E}" name="Activities completed (select from the dropdown list)" totalsRowDxfId="1100"/>
    <tableColumn id="7" xr3:uid="{EFDADF02-0254-46F1-BA9E-428556DA998C}" name="Describe the activity. What was done? What was the topic? How does this support your strategy? What was the desired outcome of this activity? Please be as descriptive/detailed as possible." dataDxfId="1099" totalsRowDxfId="1098"/>
    <tableColumn id="3" xr3:uid="{09B748F6-0F96-4394-A824-CD517C28FDA8}" name="# of hours" totalsRowFunction="custom" dataDxfId="1097" totalsRowDxfId="1096">
      <totalsRowFormula>SUM(Table132678101112673['# of hours])</totalsRowFormula>
    </tableColumn>
    <tableColumn id="9" xr3:uid="{AE1C5730-576C-47B3-8C13-A62CEE790F86}" name="# of people reached" totalsRowFunction="custom" dataDxfId="1095" totalsRowDxfId="1094">
      <totalsRowFormula>SUM(Table132678101112673['# of people reached])</totalsRowFormula>
    </tableColumn>
    <tableColumn id="10" xr3:uid="{3B325FEC-6220-4991-9506-2CB99113E264}" name="# of participants" totalsRowFunction="custom" dataDxfId="1093" totalsRowDxfId="1092">
      <totalsRowFormula>SUM(Table132678101112673['# of participants])</totalsRowFormula>
    </tableColumn>
    <tableColumn id="11" xr3:uid="{166AA09B-6789-4E5A-92D9-5D253E06FDDC}" name="# of items handed out" totalsRowFunction="sum" dataDxfId="1091" totalsRowDxfId="1090"/>
    <tableColumn id="12" xr3:uid="{066B08D9-A46C-4486-8F8E-258162422B83}" name="Reimbursement Amount Requested" totalsRowFunction="sum" dataDxfId="1089" totalsRowDxfId="1088" dataCellStyle="Currency"/>
  </tableColumns>
  <tableStyleInfo showFirstColumn="0" showLastColumn="0" showRowStripes="1"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3" xr:uid="{9CB3B4F7-9CF8-427B-9448-FA8F001B18EB}" name="Table132674" displayName="Table132674" ref="A6:G12" totalsRowCount="1" headerRowDxfId="1087" dataDxfId="1086" tableBorderDxfId="1085" totalsRowBorderDxfId="1084">
  <autoFilter ref="A6:G11" xr:uid="{9CB3B4F7-9CF8-427B-9448-FA8F001B18EB}"/>
  <tableColumns count="7">
    <tableColumn id="1" xr3:uid="{5D0441CE-03F6-4470-9820-EC930C23A734}" name="Activities completed (select from the dropdown list)" totalsRowDxfId="1083"/>
    <tableColumn id="7" xr3:uid="{BBF90539-F032-4AE4-914C-C43BDD4DD3F7}" name="Describe the activity. What was done? What was the topic? How does this support your strategy? What was the desired outcome of this activity? Please be as descriptive/detailed as possible." dataDxfId="1082" totalsRowDxfId="1081"/>
    <tableColumn id="3" xr3:uid="{C79F2A10-3F95-4DB3-B268-8F54E507762C}" name="# of hours" totalsRowFunction="custom" dataDxfId="1080" totalsRowDxfId="1079">
      <totalsRowFormula>SUM(Table132674['# of hours])</totalsRowFormula>
    </tableColumn>
    <tableColumn id="9" xr3:uid="{EF3B373C-4C48-47E9-B87E-4FC86AB1D6F3}" name="# of people reached" totalsRowFunction="custom" dataDxfId="1078" totalsRowDxfId="1077">
      <totalsRowFormula>SUM(Table132674['# of people reached])</totalsRowFormula>
    </tableColumn>
    <tableColumn id="10" xr3:uid="{509E7E59-0864-4FA2-AC95-D5B6A56E867E}" name="# of participants" totalsRowFunction="custom" dataDxfId="1076" totalsRowDxfId="1075">
      <totalsRowFormula>SUM(Table132674['# of participants])</totalsRowFormula>
    </tableColumn>
    <tableColumn id="11" xr3:uid="{2F9EE18D-BE5C-440B-AC30-26300DA631B1}" name="# of items handed out" totalsRowFunction="sum" dataDxfId="1074" totalsRowDxfId="1073"/>
    <tableColumn id="12" xr3:uid="{D0FE14D8-E048-4D3B-B583-5C991C14F376}" name="Reimbursement Amount Requested" totalsRowFunction="sum" dataDxfId="1072" totalsRowDxfId="1071" dataCellStyle="Currency"/>
  </tableColumns>
  <tableStyleInfo showFirstColumn="0" showLastColumn="0" showRowStripes="1"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4" xr:uid="{09EC5D09-5825-4AC3-9E07-C7E5B9AED03E}" name="Table1326675" displayName="Table1326675" ref="A18:G29" totalsRowCount="1" headerRowDxfId="1070" dataDxfId="1069" tableBorderDxfId="1068" totalsRowBorderDxfId="1067">
  <autoFilter ref="A18:G28" xr:uid="{09EC5D09-5825-4AC3-9E07-C7E5B9AED03E}"/>
  <tableColumns count="7">
    <tableColumn id="1" xr3:uid="{ED21C4AA-A75E-4C5D-A3D7-620A9FAA6FE7}" name="Activities completed (select from the dropdown list)" totalsRowDxfId="1066"/>
    <tableColumn id="7" xr3:uid="{8BC06C6A-3D12-4AE1-9296-3E856434ED71}" name="Describe the activity. What was done? What was the topic? How does this support your strategy? What was the desired outcome of this activity? Please be as descriptive/detailed as possible." dataDxfId="1065" totalsRowDxfId="1064"/>
    <tableColumn id="3" xr3:uid="{462C1041-0F45-4FCA-996F-5CC163EC43D9}" name="# of hours" totalsRowFunction="custom" dataDxfId="1063" totalsRowDxfId="1062">
      <totalsRowFormula>SUM(Table1326675['# of hours])</totalsRowFormula>
    </tableColumn>
    <tableColumn id="9" xr3:uid="{3C7C3E33-538D-4996-91D4-1B0E5960830F}" name="# of people reached" totalsRowFunction="custom" dataDxfId="1061" totalsRowDxfId="1060">
      <totalsRowFormula>SUM(Table1326675['# of people reached])</totalsRowFormula>
    </tableColumn>
    <tableColumn id="10" xr3:uid="{7DBDABD3-D771-4CFF-B5B0-B81052BCA968}" name="# of participants" totalsRowFunction="custom" dataDxfId="1059" totalsRowDxfId="1058">
      <totalsRowFormula>SUM(Table1326675['# of participants])</totalsRowFormula>
    </tableColumn>
    <tableColumn id="11" xr3:uid="{1427424C-DCD0-4D05-B032-92A1F23E5FD4}" name="# of items handed out" totalsRowFunction="sum" dataDxfId="1057" totalsRowDxfId="1056"/>
    <tableColumn id="12" xr3:uid="{1050DD22-1D14-4161-B824-464D907F27EF}" name="Reimbursement Amount Requested" totalsRowFunction="sum" dataDxfId="1055" totalsRowDxfId="1054" dataCellStyle="Currency" totalsRowCellStyle="Currency"/>
  </tableColumns>
  <tableStyleInfo showFirstColumn="0" showLastColumn="0" showRowStripes="1"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5" xr:uid="{2178CFC4-5855-4DC1-853F-5327C58641BF}" name="Table13267676" displayName="Table13267676" ref="A35:G41" totalsRowCount="1" headerRowDxfId="1053" dataDxfId="1052" tableBorderDxfId="1051" totalsRowBorderDxfId="1050">
  <autoFilter ref="A35:G40" xr:uid="{2178CFC4-5855-4DC1-853F-5327C58641BF}"/>
  <tableColumns count="7">
    <tableColumn id="1" xr3:uid="{1CD54618-4355-4F4D-9C94-10BBC43265BB}" name="Activities completed (select from the dropdown list)" totalsRowDxfId="1049"/>
    <tableColumn id="7" xr3:uid="{F539A793-9E2A-461C-91D7-1D8668D5FE71}" name="Describe the activity. What was done? What was the topic? How does this support your strategy? What was the desired outcome of this activity? Please be as descriptive/detailed as possible." dataDxfId="1048" totalsRowDxfId="1047"/>
    <tableColumn id="3" xr3:uid="{31789D93-4EB6-456F-B444-30E681370751}" name="# of hours" totalsRowFunction="custom" dataDxfId="1046" totalsRowDxfId="1045">
      <totalsRowFormula>SUM(Table13267676['# of hours])</totalsRowFormula>
    </tableColumn>
    <tableColumn id="9" xr3:uid="{B15C9225-99DA-4746-B6DB-2F89407AFED9}" name="# of people reached" totalsRowFunction="custom" dataDxfId="1044" totalsRowDxfId="1043">
      <totalsRowFormula>SUM(Table13267676['# of people reached])</totalsRowFormula>
    </tableColumn>
    <tableColumn id="10" xr3:uid="{2D4622CE-192C-4674-BED6-4B8B2A7F1FF8}" name="# of participants" totalsRowFunction="custom" dataDxfId="1042" totalsRowDxfId="1041">
      <totalsRowFormula>SUM(Table13267676['# of participants])</totalsRowFormula>
    </tableColumn>
    <tableColumn id="11" xr3:uid="{335C9E3A-E533-47E2-BF66-48FFB7234B6E}" name="# of items handed out" totalsRowFunction="sum" dataDxfId="1040" totalsRowDxfId="1039"/>
    <tableColumn id="12" xr3:uid="{0C35B8F5-E030-48E1-B58E-3D9C01E76B44}" name="Reimbursement Amount Requested" totalsRowFunction="sum" dataDxfId="1038" totalsRowDxfId="1037" dataCellStyle="Currency" totalsRowCellStyle="Currency"/>
  </tableColumns>
  <tableStyleInfo showFirstColumn="0" showLastColumn="0" showRowStripes="1"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6" xr:uid="{EE979A73-ECEA-4334-B1EC-12425F934794}" name="Table132678677" displayName="Table132678677" ref="A47:G53" totalsRowCount="1" headerRowDxfId="1036" dataDxfId="1035" tableBorderDxfId="1034" totalsRowBorderDxfId="1033">
  <autoFilter ref="A47:G52" xr:uid="{EE979A73-ECEA-4334-B1EC-12425F934794}"/>
  <tableColumns count="7">
    <tableColumn id="1" xr3:uid="{AADAD148-6735-4993-AAA2-29E0705F49B4}" name="Activities completed (select from the dropdown list)" totalsRowDxfId="1032"/>
    <tableColumn id="7" xr3:uid="{3C7D672D-F15B-4846-BDF5-BC659FB70C40}" name="Describe the activity. What was done? What was the topic? How does this support your strategy? What was the desired outcome of this activity? Please be as descriptive/detailed as possible." dataDxfId="1031" totalsRowDxfId="1030"/>
    <tableColumn id="3" xr3:uid="{EDC60021-CA82-4DB0-A0E5-22FD562B4054}" name="# of hours" totalsRowFunction="custom" dataDxfId="1029" totalsRowDxfId="1028">
      <totalsRowFormula>SUM(Table132678677['# of hours])</totalsRowFormula>
    </tableColumn>
    <tableColumn id="9" xr3:uid="{18A7DEFB-6EA0-4B95-AF7E-E5CE6F8A4B38}" name="# of people reached" totalsRowFunction="custom" dataDxfId="1027" totalsRowDxfId="1026">
      <totalsRowFormula>SUM(Table132678677['# of people reached])</totalsRowFormula>
    </tableColumn>
    <tableColumn id="10" xr3:uid="{56FCD28B-3003-43FA-B032-A369D4E3454B}" name="# of participants" totalsRowFunction="custom" dataDxfId="1025" totalsRowDxfId="1024">
      <totalsRowFormula>SUM(Table132678677['# of participants])</totalsRowFormula>
    </tableColumn>
    <tableColumn id="11" xr3:uid="{46D5C9E5-157C-45BC-A408-5A26CDB377E4}" name="# of items handed out" totalsRowFunction="sum" dataDxfId="1023" totalsRowDxfId="1022"/>
    <tableColumn id="12" xr3:uid="{9B7D585E-AC9B-45D9-8212-B9079EE3B7CA}" name="Reimbursement Amount Requested" totalsRowFunction="sum" dataDxfId="1021" totalsRowDxfId="1020" dataCellStyle="Currency"/>
  </tableColumns>
  <tableStyleInfo showFirstColumn="0" showLastColumn="0" showRowStripes="1"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7" xr:uid="{C7AA4036-4AB0-43B0-BA65-D45CD7BE3F0F}" name="Table1326789678" displayName="Table1326789678" ref="A59:G62" totalsRowCount="1" headerRowDxfId="1019" dataDxfId="1018" tableBorderDxfId="1017" totalsRowBorderDxfId="1016">
  <autoFilter ref="A59:G61" xr:uid="{C7AA4036-4AB0-43B0-BA65-D45CD7BE3F0F}"/>
  <tableColumns count="7">
    <tableColumn id="1" xr3:uid="{F776FA05-6270-4D6B-9769-3C81FD093223}" name="Activities completed (select from the dropdown list)" totalsRowDxfId="1015"/>
    <tableColumn id="7" xr3:uid="{019C4F10-718B-449B-BFAD-396FA3AEF422}" name="Describe the activity. What was done? What was the topic? How does this support your strategy? What was the desired outcome of this activity? Please be as descriptive/detailed as possible." dataDxfId="1014" totalsRowDxfId="1013"/>
    <tableColumn id="3" xr3:uid="{0E10C0E2-D90A-4D02-8EFD-7190DD9363F3}" name="# of hours" totalsRowFunction="custom" dataDxfId="1012" totalsRowDxfId="1011">
      <totalsRowFormula>SUM(Table1326789678['# of hours])</totalsRowFormula>
    </tableColumn>
    <tableColumn id="9" xr3:uid="{BD05C790-AD0C-41F3-AA7E-4BB07CAB1394}" name="# of people reached" totalsRowFunction="custom" dataDxfId="1010" totalsRowDxfId="1009">
      <totalsRowFormula>SUM(Table1326789678['# of people reached])</totalsRowFormula>
    </tableColumn>
    <tableColumn id="10" xr3:uid="{9708FB77-33AF-41E8-8D2F-814FC701E682}" name="# of participants" totalsRowFunction="custom" dataDxfId="1008" totalsRowDxfId="1007">
      <totalsRowFormula>SUM(Table1326789678['# of participants])</totalsRowFormula>
    </tableColumn>
    <tableColumn id="11" xr3:uid="{BCDCA9F9-47E5-43BE-9823-EFDB99ED6ED3}" name="# of items handed out" totalsRowFunction="sum" dataDxfId="1006" totalsRowDxfId="1005"/>
    <tableColumn id="12" xr3:uid="{C994A46D-278A-4071-82CE-AADC1A1FC182}" name="Reimbursement Amount Requested" totalsRowFunction="sum" dataDxfId="1004" totalsRowDxfId="1003" dataCellStyle="Currency"/>
  </tableColumns>
  <tableStyleInfo showFirstColumn="0" showLastColumn="0" showRowStripes="1"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8" xr:uid="{568AB568-2A44-4555-ACF9-47326B196A63}" name="Table13267810679" displayName="Table13267810679" ref="A68:G74" totalsRowCount="1" headerRowDxfId="1002" dataDxfId="1001" tableBorderDxfId="1000" totalsRowBorderDxfId="999">
  <autoFilter ref="A68:G73" xr:uid="{568AB568-2A44-4555-ACF9-47326B196A63}"/>
  <tableColumns count="7">
    <tableColumn id="1" xr3:uid="{A78677A9-4B4A-40F4-AA65-AC4E7B8C92AD}" name="Activities completed (select from the dropdown list)" totalsRowDxfId="998"/>
    <tableColumn id="7" xr3:uid="{AB635188-F23A-4538-ADA0-BC2303692550}" name="Describe the activity. What was done? What was the topic? How does this support your strategy? What was the desired outcome of this activity? Please be as descriptive/detailed as possible." dataDxfId="997" totalsRowDxfId="996"/>
    <tableColumn id="3" xr3:uid="{DE098C37-208C-4543-825F-15A04B871DF0}" name="# of hours" totalsRowFunction="custom" dataDxfId="995" totalsRowDxfId="994">
      <totalsRowFormula>SUM(Table13267810679['# of hours])</totalsRowFormula>
    </tableColumn>
    <tableColumn id="9" xr3:uid="{5E3B778E-9ED6-4BE5-B031-8A5578EF3B27}" name="# of people reached" totalsRowFunction="custom" dataDxfId="993" totalsRowDxfId="992">
      <totalsRowFormula>SUM(Table13267810679['# of people reached])</totalsRowFormula>
    </tableColumn>
    <tableColumn id="10" xr3:uid="{C3B5FF6A-A624-469E-9CF8-404F6E120D07}" name="# of participants" totalsRowFunction="custom" dataDxfId="991" totalsRowDxfId="990">
      <totalsRowFormula>SUM(Table13267810679['# of participants])</totalsRowFormula>
    </tableColumn>
    <tableColumn id="11" xr3:uid="{DAD07CA4-8D3B-49E8-997D-2B75D87C2D13}" name="# of items handed out" totalsRowFunction="sum" dataDxfId="989" totalsRowDxfId="988"/>
    <tableColumn id="12" xr3:uid="{8C952A9D-5A18-4152-BCE3-D48D445BE47F}" name="Reimbursement Amount Requested" totalsRowFunction="sum" dataDxfId="987" totalsRowDxfId="986" dataCellStyle="Currency" totalsRowCellStyle="Currency"/>
  </tableColumns>
  <tableStyleInfo showFirstColumn="0" showLastColumn="0" showRowStripes="1"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9" xr:uid="{2F503555-23F9-47FB-BED0-C76A03DCE7D2}" name="Table1326781011680" displayName="Table1326781011680" ref="A80:G86" totalsRowCount="1" headerRowDxfId="985" dataDxfId="984" tableBorderDxfId="983" totalsRowBorderDxfId="982">
  <autoFilter ref="A80:G85" xr:uid="{2F503555-23F9-47FB-BED0-C76A03DCE7D2}"/>
  <tableColumns count="7">
    <tableColumn id="1" xr3:uid="{312A7913-E95A-43C4-B962-89EADAD04CC1}" name="Activities completed (select from the dropdown list)" totalsRowDxfId="981"/>
    <tableColumn id="7" xr3:uid="{5C63E0F9-6F4B-484D-94D8-96AD7278FACF}" name="Describe the activity. What was done? What was the topic? How does this support your strategy? What was the desired outcome of this activity? Please be as descriptive/detailed as possible." dataDxfId="980" totalsRowDxfId="979"/>
    <tableColumn id="3" xr3:uid="{A0564BB8-7959-40F5-8CAC-28F079E5EBE6}" name="# of hours" totalsRowFunction="custom" dataDxfId="978" totalsRowDxfId="977">
      <totalsRowFormula>SUM(Table1326781011680['# of hours])</totalsRowFormula>
    </tableColumn>
    <tableColumn id="9" xr3:uid="{ADF7A680-7281-46D9-A687-834FF23AB3E3}" name="# of people reached" totalsRowFunction="custom" dataDxfId="976" totalsRowDxfId="975">
      <totalsRowFormula>SUM(Table1326781011680['# of people reached])</totalsRowFormula>
    </tableColumn>
    <tableColumn id="10" xr3:uid="{C9DBF7B9-8ADC-42B8-959A-F13FCB8147F3}" name="# of participants" totalsRowFunction="custom" dataDxfId="974" totalsRowDxfId="973">
      <totalsRowFormula>SUM(Table1326781011680['# of participants])</totalsRowFormula>
    </tableColumn>
    <tableColumn id="11" xr3:uid="{FDE53F53-C18D-4E32-A6EC-5AA22451EBB7}" name="# of items handed out" totalsRowFunction="sum" dataDxfId="972" totalsRowDxfId="971"/>
    <tableColumn id="12" xr3:uid="{B2CCD210-4016-41B0-A612-5E543E49A326}" name="Reimbursement Amount Requested" totalsRowFunction="sum" dataDxfId="970" totalsRowDxfId="969" dataCellStyle="Currency" totalsRowCellStyle="Currency"/>
  </tableColumns>
  <tableStyleInfo showFirstColumn="0" showLastColumn="0" showRowStripes="1"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0" xr:uid="{905A605F-4623-41B1-B06A-7B64F3A268EB}" name="Table132678101112681" displayName="Table132678101112681" ref="A92:G98" totalsRowCount="1" headerRowDxfId="968" dataDxfId="967" tableBorderDxfId="966" totalsRowBorderDxfId="965">
  <autoFilter ref="A92:G97" xr:uid="{905A605F-4623-41B1-B06A-7B64F3A268EB}"/>
  <tableColumns count="7">
    <tableColumn id="1" xr3:uid="{C97AA568-8B45-4CF3-A467-4AAF4110EDB7}" name="Activities completed (select from the dropdown list)" totalsRowDxfId="964"/>
    <tableColumn id="7" xr3:uid="{953D7C0E-B685-4263-98B9-9773CE315D2E}" name="Describe the activity. What was done? What was the topic? How does this support your strategy? What was the desired outcome of this activity? Please be as descriptive/detailed as possible." dataDxfId="963" totalsRowDxfId="962"/>
    <tableColumn id="3" xr3:uid="{A1E70847-FF5C-4844-B949-B11C09FDFAB1}" name="# of hours" totalsRowFunction="custom" dataDxfId="961" totalsRowDxfId="960">
      <totalsRowFormula>SUM(Table132678101112681['# of hours])</totalsRowFormula>
    </tableColumn>
    <tableColumn id="9" xr3:uid="{B5F42E64-C5BE-4089-963B-1B1F5F53F95B}" name="# of people reached" totalsRowFunction="custom" dataDxfId="959" totalsRowDxfId="958">
      <totalsRowFormula>SUM(Table132678101112681['# of people reached])</totalsRowFormula>
    </tableColumn>
    <tableColumn id="10" xr3:uid="{48203B27-1AE4-42AF-908E-6AF16289B86C}" name="# of participants" totalsRowFunction="custom" dataDxfId="957" totalsRowDxfId="956">
      <totalsRowFormula>SUM(Table132678101112681['# of participants])</totalsRowFormula>
    </tableColumn>
    <tableColumn id="11" xr3:uid="{333185AF-A57A-4C86-9B3D-1D9795BD748A}" name="# of items handed out" totalsRowFunction="sum" dataDxfId="955" totalsRowDxfId="954"/>
    <tableColumn id="12" xr3:uid="{0FACB6AF-3D78-4808-9127-4B833664F86D}" name="Reimbursement Amount Requested" totalsRowFunction="sum" dataDxfId="953" totalsRowDxfId="952" dataCellStyle="Currency"/>
  </tableColumns>
  <tableStyleInfo showFirstColumn="0" showLastColumn="0" showRowStripes="1"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1" xr:uid="{D714090E-EFE2-4824-80AD-517EEE39B98F}" name="Table132682" displayName="Table132682" ref="A6:G12" totalsRowCount="1" headerRowDxfId="951" dataDxfId="950" tableBorderDxfId="949" totalsRowBorderDxfId="948">
  <autoFilter ref="A6:G11" xr:uid="{D714090E-EFE2-4824-80AD-517EEE39B98F}"/>
  <tableColumns count="7">
    <tableColumn id="1" xr3:uid="{DF3172F0-FEC4-41BB-8F31-F362DB2E6151}" name="Activities completed (select from the dropdown list)" totalsRowDxfId="947"/>
    <tableColumn id="7" xr3:uid="{810B947E-F5BD-4559-985D-F20B3A918A45}" name="Describe the activity. What was done? What was the topic? How does this support your strategy? What was the desired outcome of this activity? Please be as descriptive/detailed as possible." dataDxfId="946" totalsRowDxfId="945"/>
    <tableColumn id="3" xr3:uid="{E927ED11-A6B7-4704-8C18-04F098D16132}" name="# of hours" totalsRowFunction="custom" dataDxfId="944" totalsRowDxfId="943">
      <totalsRowFormula>SUM(Table132682['# of hours])</totalsRowFormula>
    </tableColumn>
    <tableColumn id="9" xr3:uid="{F8D15E46-A1B0-4570-AE9C-2599C3F1EE71}" name="# of people reached" totalsRowFunction="custom" dataDxfId="942" totalsRowDxfId="941">
      <totalsRowFormula>SUM(Table132682['# of people reached])</totalsRowFormula>
    </tableColumn>
    <tableColumn id="10" xr3:uid="{8B17B833-2995-408E-80D5-54A6B2E40146}" name="# of participants" totalsRowFunction="custom" dataDxfId="940" totalsRowDxfId="939">
      <totalsRowFormula>SUM(Table132682['# of participants])</totalsRowFormula>
    </tableColumn>
    <tableColumn id="11" xr3:uid="{32DB53D4-6AC3-4643-8289-9097C4D173DD}" name="# of items handed out" totalsRowFunction="sum" dataDxfId="938" totalsRowDxfId="937"/>
    <tableColumn id="12" xr3:uid="{A4B2BCF4-89BE-4535-B3C9-028B6BF728DB}" name="Reimbursement Amount Requested" totalsRowFunction="sum" dataDxfId="936" totalsRowDxfId="935" dataCellStyle="Currency"/>
  </tableColumns>
  <tableStyleInfo showFirstColumn="0" showLastColumn="0" showRowStripes="1"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2" xr:uid="{C26E9936-E412-46AA-ADC6-DFBF58FC22F5}" name="Table1326683" displayName="Table1326683" ref="A18:G29" totalsRowCount="1" headerRowDxfId="934" dataDxfId="933" tableBorderDxfId="932" totalsRowBorderDxfId="931">
  <autoFilter ref="A18:G28" xr:uid="{C26E9936-E412-46AA-ADC6-DFBF58FC22F5}"/>
  <tableColumns count="7">
    <tableColumn id="1" xr3:uid="{FA1F9927-738C-4B14-ABB2-205A51CB2C69}" name="Activities completed (select from the dropdown list)" totalsRowDxfId="930"/>
    <tableColumn id="7" xr3:uid="{A6138A9A-DDD0-46DB-B6BF-5E89D19520C1}" name="Describe the activity. What was done? What was the topic? How does this support your strategy? What was the desired outcome of this activity? Please be as descriptive/detailed as possible." dataDxfId="929" totalsRowDxfId="928"/>
    <tableColumn id="3" xr3:uid="{FE0CA2DA-5349-4E93-B45C-0150F4FDDBFC}" name="# of hours" totalsRowFunction="custom" dataDxfId="927" totalsRowDxfId="926">
      <totalsRowFormula>SUM(Table1326683['# of hours])</totalsRowFormula>
    </tableColumn>
    <tableColumn id="9" xr3:uid="{35DA5135-3332-4EEF-ABB3-9D1230D60BC0}" name="# of people reached" totalsRowFunction="custom" dataDxfId="925" totalsRowDxfId="924">
      <totalsRowFormula>SUM(Table1326683['# of people reached])</totalsRowFormula>
    </tableColumn>
    <tableColumn id="10" xr3:uid="{D7224F23-0C24-4E67-AD1C-98647F2A1C47}" name="# of participants" totalsRowFunction="custom" dataDxfId="923" totalsRowDxfId="922">
      <totalsRowFormula>SUM(Table1326683['# of participants])</totalsRowFormula>
    </tableColumn>
    <tableColumn id="11" xr3:uid="{F39DF7E8-F6C1-4C4A-B361-9879DC7627FA}" name="# of items handed out" totalsRowFunction="sum" dataDxfId="921" totalsRowDxfId="920"/>
    <tableColumn id="12" xr3:uid="{84B9C0AC-F033-4040-B59B-D4298836944C}" name="Reimbursement Amount Requested" totalsRowFunction="sum" dataDxfId="919" totalsRowDxfId="918" dataCellStyle="Currency" totalsRowCellStyle="Currency"/>
  </tableColumns>
  <tableStyleInfo showFirstColumn="0" showLastColumn="0" showRowStripes="1"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3" xr:uid="{0E38F181-ED7A-47C9-BE73-E6D76098E679}" name="Table13267684" displayName="Table13267684" ref="A35:G41" totalsRowCount="1" headerRowDxfId="917" dataDxfId="916" tableBorderDxfId="915" totalsRowBorderDxfId="914">
  <autoFilter ref="A35:G40" xr:uid="{0E38F181-ED7A-47C9-BE73-E6D76098E679}"/>
  <tableColumns count="7">
    <tableColumn id="1" xr3:uid="{EECEBD63-BFDE-45F4-86B4-120169ADB722}" name="Activities completed (select from the dropdown list)" totalsRowDxfId="913"/>
    <tableColumn id="7" xr3:uid="{D096BD6F-FBA3-4DB5-8C45-27A3D7F3000A}" name="Describe the activity. What was done? What was the topic? How does this support your strategy? What was the desired outcome of this activity? Please be as descriptive/detailed as possible." dataDxfId="912" totalsRowDxfId="911"/>
    <tableColumn id="3" xr3:uid="{00FF6420-6FBC-4EAC-A50F-5D72E002A559}" name="# of hours" totalsRowFunction="custom" dataDxfId="910" totalsRowDxfId="909">
      <totalsRowFormula>SUM(Table13267684['# of hours])</totalsRowFormula>
    </tableColumn>
    <tableColumn id="9" xr3:uid="{64817E5B-109D-4BA8-AE9D-3A4BF079EF71}" name="# of people reached" totalsRowFunction="custom" dataDxfId="908" totalsRowDxfId="907">
      <totalsRowFormula>SUM(Table13267684['# of people reached])</totalsRowFormula>
    </tableColumn>
    <tableColumn id="10" xr3:uid="{E03CDD21-FCEA-4F1B-A1E9-CB01616B9D1B}" name="# of participants" totalsRowFunction="custom" dataDxfId="906" totalsRowDxfId="905">
      <totalsRowFormula>SUM(Table13267684['# of participants])</totalsRowFormula>
    </tableColumn>
    <tableColumn id="11" xr3:uid="{75DDAF7C-2CC3-4EFA-A5D5-81A66DC100D9}" name="# of items handed out" totalsRowFunction="sum" dataDxfId="904" totalsRowDxfId="903"/>
    <tableColumn id="12" xr3:uid="{0825C260-FFB5-466F-B69B-FA056636D8DB}" name="Reimbursement Amount Requested" totalsRowFunction="sum" dataDxfId="902" totalsRowDxfId="901" dataCellStyle="Currency" totalsRowCellStyle="Currency"/>
  </tableColumns>
  <tableStyleInfo showFirstColumn="0" showLastColumn="0" showRowStripes="1"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4" xr:uid="{F8A53947-7A5A-47E5-91DE-865BB16BE5D5}" name="Table132678685" displayName="Table132678685" ref="A47:G53" totalsRowCount="1" headerRowDxfId="900" dataDxfId="899" tableBorderDxfId="898" totalsRowBorderDxfId="897">
  <autoFilter ref="A47:G52" xr:uid="{F8A53947-7A5A-47E5-91DE-865BB16BE5D5}"/>
  <tableColumns count="7">
    <tableColumn id="1" xr3:uid="{B5CB23DD-CCBD-4631-8A9D-FF3C1E0E0D2D}" name="Activities completed (select from the dropdown list)" totalsRowDxfId="896"/>
    <tableColumn id="7" xr3:uid="{5BD6A96E-BB9F-484E-8847-C5C8B35A89FB}" name="Describe the activity. What was done? What was the topic? How does this support your strategy? What was the desired outcome of this activity? Please be as descriptive/detailed as possible." dataDxfId="895" totalsRowDxfId="894"/>
    <tableColumn id="3" xr3:uid="{A42949D4-DD3C-4D6E-BA1D-7CD46CC8633B}" name="# of hours" totalsRowFunction="custom" dataDxfId="893" totalsRowDxfId="892">
      <totalsRowFormula>SUM(Table132678685['# of hours])</totalsRowFormula>
    </tableColumn>
    <tableColumn id="9" xr3:uid="{BA5CB760-7A50-495A-A9AA-5DE3A86BC764}" name="# of people reached" totalsRowFunction="custom" dataDxfId="891" totalsRowDxfId="890">
      <totalsRowFormula>SUM(Table132678685['# of people reached])</totalsRowFormula>
    </tableColumn>
    <tableColumn id="10" xr3:uid="{13F636B6-C331-4AD1-BC57-07C8670A2A24}" name="# of participants" totalsRowFunction="custom" dataDxfId="889" totalsRowDxfId="888">
      <totalsRowFormula>SUM(Table132678685['# of participants])</totalsRowFormula>
    </tableColumn>
    <tableColumn id="11" xr3:uid="{F84BDAF5-8A9A-4E32-8CC8-2B91C6AC19ED}" name="# of items handed out" totalsRowFunction="sum" dataDxfId="887" totalsRowDxfId="886"/>
    <tableColumn id="12" xr3:uid="{89494909-DB47-4B47-8A19-A740BD367DC6}" name="Reimbursement Amount Requested" totalsRowFunction="sum" dataDxfId="885" totalsRowDxfId="884" dataCellStyle="Currency"/>
  </tableColumns>
  <tableStyleInfo showFirstColumn="0" showLastColumn="0" showRowStripes="1"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5" xr:uid="{396B6B34-0B20-4BDE-8C77-945393B519BB}" name="Table1326789686" displayName="Table1326789686" ref="A59:G62" totalsRowCount="1" headerRowDxfId="883" dataDxfId="882" tableBorderDxfId="881" totalsRowBorderDxfId="880">
  <autoFilter ref="A59:G61" xr:uid="{396B6B34-0B20-4BDE-8C77-945393B519BB}"/>
  <tableColumns count="7">
    <tableColumn id="1" xr3:uid="{CBB91F5D-4772-47BD-AFB2-D9E32EFE608F}" name="Activities completed (select from the dropdown list)" totalsRowDxfId="879"/>
    <tableColumn id="7" xr3:uid="{A5CB1DE6-3346-48AA-A7E2-EF831815D1C3}" name="Describe the activity. What was done? What was the topic? How does this support your strategy? What was the desired outcome of this activity? Please be as descriptive/detailed as possible." dataDxfId="878" totalsRowDxfId="877"/>
    <tableColumn id="3" xr3:uid="{594BF09F-2F0E-44AA-8633-F479C66C7214}" name="# of hours" totalsRowFunction="custom" dataDxfId="876" totalsRowDxfId="875">
      <totalsRowFormula>SUM(Table1326789686['# of hours])</totalsRowFormula>
    </tableColumn>
    <tableColumn id="9" xr3:uid="{C052F48B-5CE6-405F-990C-59BE7B83A39F}" name="# of people reached" totalsRowFunction="custom" dataDxfId="874" totalsRowDxfId="873">
      <totalsRowFormula>SUM(Table1326789686['# of people reached])</totalsRowFormula>
    </tableColumn>
    <tableColumn id="10" xr3:uid="{248A353B-D1C0-48A9-A9AD-D71B2DD64E2E}" name="# of participants" totalsRowFunction="custom" dataDxfId="872" totalsRowDxfId="871">
      <totalsRowFormula>SUM(Table1326789686['# of participants])</totalsRowFormula>
    </tableColumn>
    <tableColumn id="11" xr3:uid="{E4698740-5F08-429C-9B12-CF7F6D6D6A19}" name="# of items handed out" totalsRowFunction="sum" dataDxfId="870" totalsRowDxfId="869"/>
    <tableColumn id="12" xr3:uid="{DD1AE950-111F-4C5F-A929-950F35B22CCC}" name="Reimbursement Amount Requested" totalsRowFunction="sum" dataDxfId="868" totalsRowDxfId="867" dataCellStyle="Currency"/>
  </tableColumns>
  <tableStyleInfo showFirstColumn="0" showLastColumn="0" showRowStripes="1"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6" xr:uid="{7FBF0CBC-48BD-47EE-8FE4-9714F9242A8A}" name="Table13267810687" displayName="Table13267810687" ref="A68:G74" totalsRowCount="1" headerRowDxfId="866" dataDxfId="865" tableBorderDxfId="864" totalsRowBorderDxfId="863">
  <autoFilter ref="A68:G73" xr:uid="{7FBF0CBC-48BD-47EE-8FE4-9714F9242A8A}"/>
  <tableColumns count="7">
    <tableColumn id="1" xr3:uid="{6F5F8845-441F-43C8-BEAD-7AC39D7F6F0D}" name="Activities completed (select from the dropdown list)" totalsRowDxfId="862"/>
    <tableColumn id="7" xr3:uid="{003F503E-B4F7-4D7B-91C4-250E60D42475}" name="Describe the activity. What was done? What was the topic? How does this support your strategy? What was the desired outcome of this activity? Please be as descriptive/detailed as possible." dataDxfId="861" totalsRowDxfId="860"/>
    <tableColumn id="3" xr3:uid="{8CEDE8E4-BAAC-47C4-8145-1476EC3E4EE7}" name="# of hours" totalsRowFunction="custom" dataDxfId="859" totalsRowDxfId="858">
      <totalsRowFormula>SUM(Table13267810687['# of hours])</totalsRowFormula>
    </tableColumn>
    <tableColumn id="9" xr3:uid="{2B1C45A8-482C-4242-946E-65C7D5E51CE0}" name="# of people reached" totalsRowFunction="custom" dataDxfId="857" totalsRowDxfId="856">
      <totalsRowFormula>SUM(Table13267810687['# of people reached])</totalsRowFormula>
    </tableColumn>
    <tableColumn id="10" xr3:uid="{0465BC41-507A-4E74-9791-2B6B86F772A9}" name="# of participants" totalsRowFunction="custom" dataDxfId="855" totalsRowDxfId="854">
      <totalsRowFormula>SUM(Table13267810687['# of participants])</totalsRowFormula>
    </tableColumn>
    <tableColumn id="11" xr3:uid="{937B0818-E6F9-48E1-BDFA-61E254AD9203}" name="# of items handed out" totalsRowFunction="sum" dataDxfId="853" totalsRowDxfId="852"/>
    <tableColumn id="12" xr3:uid="{41FC11F7-3A43-4E1E-8C45-0E4850940AAD}" name="Reimbursement Amount Requested" totalsRowFunction="sum" dataDxfId="851" totalsRowDxfId="850" dataCellStyle="Currency" totalsRowCellStyle="Currency"/>
  </tableColumns>
  <tableStyleInfo showFirstColumn="0" showLastColumn="0" showRowStripes="1"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7" xr:uid="{A1686362-BB6F-4335-B7C1-A666C923A765}" name="Table1326781011688" displayName="Table1326781011688" ref="A80:G86" totalsRowCount="1" headerRowDxfId="849" dataDxfId="848" tableBorderDxfId="847" totalsRowBorderDxfId="846">
  <autoFilter ref="A80:G85" xr:uid="{A1686362-BB6F-4335-B7C1-A666C923A765}"/>
  <tableColumns count="7">
    <tableColumn id="1" xr3:uid="{E69ACA4D-D295-4BA7-BD4D-41B619C389E0}" name="Activities completed (select from the dropdown list)" totalsRowDxfId="845"/>
    <tableColumn id="7" xr3:uid="{716D8629-CF37-4FBE-AC04-73D4C64AAC4E}" name="Describe the activity. What was done? What was the topic? How does this support your strategy? What was the desired outcome of this activity? Please be as descriptive/detailed as possible." dataDxfId="844" totalsRowDxfId="843"/>
    <tableColumn id="3" xr3:uid="{FA566E6B-499A-4E2D-B47C-CB995D49A3B3}" name="# of hours" totalsRowFunction="custom" dataDxfId="842" totalsRowDxfId="841">
      <totalsRowFormula>SUM(Table1326781011688['# of hours])</totalsRowFormula>
    </tableColumn>
    <tableColumn id="9" xr3:uid="{7B3706CB-02F7-4D86-8CA6-73515BFE3222}" name="# of people reached" totalsRowFunction="custom" dataDxfId="840" totalsRowDxfId="839">
      <totalsRowFormula>SUM(Table1326781011688['# of people reached])</totalsRowFormula>
    </tableColumn>
    <tableColumn id="10" xr3:uid="{C17E683F-D33A-467C-82B6-150A7E401224}" name="# of participants" totalsRowFunction="custom" dataDxfId="838" totalsRowDxfId="837">
      <totalsRowFormula>SUM(Table1326781011688['# of participants])</totalsRowFormula>
    </tableColumn>
    <tableColumn id="11" xr3:uid="{84A35410-BE29-466D-AB1F-FADB1D6CAF1B}" name="# of items handed out" totalsRowFunction="sum" dataDxfId="836" totalsRowDxfId="835"/>
    <tableColumn id="12" xr3:uid="{B9C6E59E-2138-492A-98DF-5A79E57CC6B0}" name="Reimbursement Amount Requested" totalsRowFunction="sum" dataDxfId="834" totalsRowDxfId="833" dataCellStyle="Currency" totalsRowCellStyle="Currency"/>
  </tableColumns>
  <tableStyleInfo showFirstColumn="0" showLastColumn="0" showRowStripes="1"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8" xr:uid="{ABE6C618-74AA-46A4-BB23-15CA504E89A8}" name="Table132678101112689" displayName="Table132678101112689" ref="A92:G98" totalsRowCount="1" headerRowDxfId="832" dataDxfId="831" tableBorderDxfId="830" totalsRowBorderDxfId="829">
  <autoFilter ref="A92:G97" xr:uid="{ABE6C618-74AA-46A4-BB23-15CA504E89A8}"/>
  <tableColumns count="7">
    <tableColumn id="1" xr3:uid="{0028372E-ACC7-418F-BE62-4C9A770A7DDA}" name="Activities completed (select from the dropdown list)" totalsRowDxfId="828"/>
    <tableColumn id="7" xr3:uid="{779DDAB4-4DFF-4A84-9C22-D7E9D929F023}" name="Describe the activity. What was done? What was the topic? How does this support your strategy? What was the desired outcome of this activity? Please be as descriptive/detailed as possible." dataDxfId="827" totalsRowDxfId="826"/>
    <tableColumn id="3" xr3:uid="{A10481DE-5426-4C4A-BA2B-4D4856F76F24}" name="# of hours" totalsRowFunction="custom" dataDxfId="825" totalsRowDxfId="824">
      <totalsRowFormula>SUM(Table132678101112689['# of hours])</totalsRowFormula>
    </tableColumn>
    <tableColumn id="9" xr3:uid="{708725B8-C8B9-48FE-A2AB-4CB58CA534F9}" name="# of people reached" totalsRowFunction="custom" dataDxfId="823" totalsRowDxfId="822">
      <totalsRowFormula>SUM(Table132678101112689['# of people reached])</totalsRowFormula>
    </tableColumn>
    <tableColumn id="10" xr3:uid="{9085422F-8D12-4423-BFCF-B38BEC7C63C9}" name="# of participants" totalsRowFunction="custom" dataDxfId="821" totalsRowDxfId="820">
      <totalsRowFormula>SUM(Table132678101112689['# of participants])</totalsRowFormula>
    </tableColumn>
    <tableColumn id="11" xr3:uid="{B58B7F0E-7319-4C1C-BCF0-9C6D9FADDDF1}" name="# of items handed out" totalsRowFunction="sum" dataDxfId="819" totalsRowDxfId="818"/>
    <tableColumn id="12" xr3:uid="{08838C9C-24A7-4F0A-A5A2-109EA1E2628B}" name="Reimbursement Amount Requested" totalsRowFunction="sum" dataDxfId="817" totalsRowDxfId="816" dataCellStyle="Currency"/>
  </tableColumns>
  <tableStyleInfo showFirstColumn="0" showLastColumn="0" showRowStripes="1"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9" xr:uid="{818D82D1-FBA8-4FE7-8361-64E9486C03DE}" name="Table132690" displayName="Table132690" ref="A6:G12" totalsRowCount="1" headerRowDxfId="815" dataDxfId="814" tableBorderDxfId="813" totalsRowBorderDxfId="812">
  <autoFilter ref="A6:G11" xr:uid="{818D82D1-FBA8-4FE7-8361-64E9486C03DE}"/>
  <tableColumns count="7">
    <tableColumn id="1" xr3:uid="{5B08D08D-6CB3-4707-B755-4E3BC1D9CE3C}" name="Activities completed (select from the dropdown list)" totalsRowDxfId="811"/>
    <tableColumn id="7" xr3:uid="{A3EF28EE-D876-4310-991B-825DBF930EC0}" name="Describe the activity. What was done? What was the topic? How does this support your strategy? What was the desired outcome of this activity? Please be as descriptive/detailed as possible." dataDxfId="810" totalsRowDxfId="809"/>
    <tableColumn id="3" xr3:uid="{3FB7EAB3-776F-420E-9EA0-7A12A6056F88}" name="# of hours" totalsRowFunction="custom" dataDxfId="808" totalsRowDxfId="807">
      <totalsRowFormula>SUM(Table132690['# of hours])</totalsRowFormula>
    </tableColumn>
    <tableColumn id="9" xr3:uid="{44B123E3-826D-47FD-AE99-92772F34903C}" name="# of people reached" totalsRowFunction="custom" dataDxfId="806" totalsRowDxfId="805">
      <totalsRowFormula>SUM(Table132690['# of people reached])</totalsRowFormula>
    </tableColumn>
    <tableColumn id="10" xr3:uid="{24826E06-2E35-4F96-AA34-FC140166B01F}" name="# of participants" totalsRowFunction="custom" dataDxfId="804" totalsRowDxfId="803">
      <totalsRowFormula>SUM(Table132690['# of participants])</totalsRowFormula>
    </tableColumn>
    <tableColumn id="11" xr3:uid="{AEF1C46D-08CA-4073-A8DD-3A3E63D0B354}" name="# of items handed out" totalsRowFunction="sum" dataDxfId="802" totalsRowDxfId="801"/>
    <tableColumn id="12" xr3:uid="{165AED9B-114D-413D-90CD-C1E9D27A9794}" name="Reimbursement Amount Requested" totalsRowFunction="sum" dataDxfId="800" totalsRowDxfId="799" dataCellStyle="Currency"/>
  </tableColumns>
  <tableStyleInfo showFirstColumn="0" showLastColumn="0" showRowStripes="1"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0" xr:uid="{BF80A673-95C7-41C4-82A0-1D5F3930F873}" name="Table1326691" displayName="Table1326691" ref="A18:G29" totalsRowCount="1" headerRowDxfId="798" dataDxfId="797" tableBorderDxfId="796" totalsRowBorderDxfId="795">
  <autoFilter ref="A18:G28" xr:uid="{BF80A673-95C7-41C4-82A0-1D5F3930F873}"/>
  <tableColumns count="7">
    <tableColumn id="1" xr3:uid="{63CAC8B1-A263-43F1-A3B2-90A0F24DC471}" name="Activities completed (select from the dropdown list)" totalsRowDxfId="794"/>
    <tableColumn id="7" xr3:uid="{D8805889-AA13-4F74-9125-FF91900E26A2}" name="Describe the activity. What was done? What was the topic? How does this support your strategy? What was the desired outcome of this activity? Please be as descriptive/detailed as possible." dataDxfId="793" totalsRowDxfId="792"/>
    <tableColumn id="3" xr3:uid="{1591FB93-F06A-4856-B53D-658EAC40D575}" name="# of hours" totalsRowFunction="custom" dataDxfId="791" totalsRowDxfId="790">
      <totalsRowFormula>SUM(Table1326691['# of hours])</totalsRowFormula>
    </tableColumn>
    <tableColumn id="9" xr3:uid="{5E730785-C8FB-4502-A3DE-B1A32F15B6B5}" name="# of people reached" totalsRowFunction="custom" dataDxfId="789" totalsRowDxfId="788">
      <totalsRowFormula>SUM(Table1326691['# of people reached])</totalsRowFormula>
    </tableColumn>
    <tableColumn id="10" xr3:uid="{781CBAB4-207C-4D90-AF3C-7CD9F524458A}" name="# of participants" totalsRowFunction="custom" dataDxfId="787" totalsRowDxfId="786">
      <totalsRowFormula>SUM(Table1326691['# of participants])</totalsRowFormula>
    </tableColumn>
    <tableColumn id="11" xr3:uid="{0E923189-0984-4A57-A574-77CB21954861}" name="# of items handed out" totalsRowFunction="sum" dataDxfId="785" totalsRowDxfId="784"/>
    <tableColumn id="12" xr3:uid="{CBD159EB-6D17-48AA-8F1E-C7A55F0C6DB2}" name="Reimbursement Amount Requested" totalsRowFunction="sum" dataDxfId="783" totalsRowDxfId="782" dataCellStyle="Currency" totalsRowCellStyle="Currency"/>
  </tableColumns>
  <tableStyleInfo showFirstColumn="0" showLastColumn="0" showRowStripes="1"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1" xr:uid="{4CEF0C74-C846-460A-84B2-DA5A24D0ED79}" name="Table13267692" displayName="Table13267692" ref="A35:G41" totalsRowCount="1" headerRowDxfId="781" dataDxfId="780" tableBorderDxfId="779" totalsRowBorderDxfId="778">
  <autoFilter ref="A35:G40" xr:uid="{4CEF0C74-C846-460A-84B2-DA5A24D0ED79}"/>
  <tableColumns count="7">
    <tableColumn id="1" xr3:uid="{87D1EB80-C3B2-4279-ABBE-3C37DDC6233C}" name="Activities completed (select from the dropdown list)" totalsRowDxfId="777"/>
    <tableColumn id="7" xr3:uid="{173537EA-D85B-4BE0-BA68-C4515F27C407}" name="Describe the activity. What was done? What was the topic? How does this support your strategy? What was the desired outcome of this activity? Please be as descriptive/detailed as possible." dataDxfId="776" totalsRowDxfId="775"/>
    <tableColumn id="3" xr3:uid="{E905DD4E-43DC-43CB-A7B8-E3F5F89C024D}" name="# of hours" totalsRowFunction="custom" dataDxfId="774" totalsRowDxfId="773">
      <totalsRowFormula>SUM(Table13267692['# of hours])</totalsRowFormula>
    </tableColumn>
    <tableColumn id="9" xr3:uid="{AF1CA284-2DA3-4B8D-9B4C-CEE9B0C22B4B}" name="# of people reached" totalsRowFunction="custom" dataDxfId="772" totalsRowDxfId="771">
      <totalsRowFormula>SUM(Table13267692['# of people reached])</totalsRowFormula>
    </tableColumn>
    <tableColumn id="10" xr3:uid="{E0848164-1378-4721-9BE5-13CCEFA3DB5E}" name="# of participants" totalsRowFunction="custom" dataDxfId="770" totalsRowDxfId="769">
      <totalsRowFormula>SUM(Table13267692['# of participants])</totalsRowFormula>
    </tableColumn>
    <tableColumn id="11" xr3:uid="{72D0546E-9707-400E-B33C-110F8940D37C}" name="# of items handed out" totalsRowFunction="sum" dataDxfId="768" totalsRowDxfId="767"/>
    <tableColumn id="12" xr3:uid="{276689AB-C0DA-4BC4-8C61-37783AAAC712}" name="Reimbursement Amount Requested" totalsRowFunction="sum" dataDxfId="766" totalsRowDxfId="765" dataCellStyle="Currency" totalsRowCellStyle="Currency"/>
  </tableColumns>
  <tableStyleInfo showFirstColumn="0" showLastColumn="0" showRowStripes="1" showColumnStripes="0"/>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2" xr:uid="{7C238547-D4DB-4CD3-B434-7639C88106D7}" name="Table132678693" displayName="Table132678693" ref="A47:G53" totalsRowCount="1" headerRowDxfId="764" dataDxfId="763" tableBorderDxfId="762" totalsRowBorderDxfId="761">
  <autoFilter ref="A47:G52" xr:uid="{7C238547-D4DB-4CD3-B434-7639C88106D7}"/>
  <tableColumns count="7">
    <tableColumn id="1" xr3:uid="{C987A435-28E1-46B6-B184-498315336219}" name="Activities completed (select from the dropdown list)" totalsRowDxfId="760"/>
    <tableColumn id="7" xr3:uid="{E780559D-E4A2-4C71-AAC9-D26D9254411E}" name="Describe the activity. What was done? What was the topic? How does this support your strategy? What was the desired outcome of this activity? Please be as descriptive/detailed as possible." dataDxfId="759" totalsRowDxfId="758"/>
    <tableColumn id="3" xr3:uid="{F79BC9BA-E5A8-4812-A9CE-F72C7ADAEBB3}" name="# of hours" totalsRowFunction="custom" dataDxfId="757" totalsRowDxfId="756">
      <totalsRowFormula>SUM(Table132678693['# of hours])</totalsRowFormula>
    </tableColumn>
    <tableColumn id="9" xr3:uid="{459A9EF0-E9B0-488C-B0ED-C679EB643DBC}" name="# of people reached" totalsRowFunction="custom" dataDxfId="755" totalsRowDxfId="754">
      <totalsRowFormula>SUM(Table132678693['# of people reached])</totalsRowFormula>
    </tableColumn>
    <tableColumn id="10" xr3:uid="{0944FF83-D310-4A32-9307-A579A78071F2}" name="# of participants" totalsRowFunction="custom" dataDxfId="753" totalsRowDxfId="752">
      <totalsRowFormula>SUM(Table132678693['# of participants])</totalsRowFormula>
    </tableColumn>
    <tableColumn id="11" xr3:uid="{06105493-B90B-490E-89A2-74E8DEB98752}" name="# of items handed out" totalsRowFunction="sum" dataDxfId="751" totalsRowDxfId="750"/>
    <tableColumn id="12" xr3:uid="{9D127E4D-9240-4CCD-801D-8E4001D95806}" name="Reimbursement Amount Requested" totalsRowFunction="sum" dataDxfId="749" totalsRowDxfId="748" dataCellStyle="Currency"/>
  </tableColumns>
  <tableStyleInfo showFirstColumn="0" showLastColumn="0" showRowStripes="1" showColumnStripes="0"/>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3" xr:uid="{6C311C18-0CC5-4C49-A087-F719AF5103E0}" name="Table1326789694" displayName="Table1326789694" ref="A59:G62" totalsRowCount="1" headerRowDxfId="747" dataDxfId="746" tableBorderDxfId="745" totalsRowBorderDxfId="744">
  <autoFilter ref="A59:G61" xr:uid="{6C311C18-0CC5-4C49-A087-F719AF5103E0}"/>
  <tableColumns count="7">
    <tableColumn id="1" xr3:uid="{778564B6-9227-4D7B-AA78-6528C24D6F72}" name="Activities completed (select from the dropdown list)" totalsRowDxfId="743"/>
    <tableColumn id="7" xr3:uid="{A601B1D4-C3AC-45A0-9400-46CBF4BAFDE5}" name="Describe the activity. What was done? What was the topic? How does this support your strategy? What was the desired outcome of this activity? Please be as descriptive/detailed as possible." dataDxfId="742" totalsRowDxfId="741"/>
    <tableColumn id="3" xr3:uid="{A421B8B3-655A-4FC7-B6C9-84CED1E5A06C}" name="# of hours" totalsRowFunction="custom" dataDxfId="740" totalsRowDxfId="739">
      <totalsRowFormula>SUM(Table1326789694['# of hours])</totalsRowFormula>
    </tableColumn>
    <tableColumn id="9" xr3:uid="{9D80E0AF-E4AD-4BF7-9659-064F674FE7FB}" name="# of people reached" totalsRowFunction="custom" dataDxfId="738" totalsRowDxfId="737">
      <totalsRowFormula>SUM(Table1326789694['# of people reached])</totalsRowFormula>
    </tableColumn>
    <tableColumn id="10" xr3:uid="{3550D2D6-A2D6-425C-8AF5-1FB0F078AC5B}" name="# of participants" totalsRowFunction="custom" dataDxfId="736" totalsRowDxfId="735">
      <totalsRowFormula>SUM(Table1326789694['# of participants])</totalsRowFormula>
    </tableColumn>
    <tableColumn id="11" xr3:uid="{A2377806-DCC9-4C54-8F9E-BAF4AC521501}" name="# of items handed out" totalsRowFunction="sum" dataDxfId="734" totalsRowDxfId="733"/>
    <tableColumn id="12" xr3:uid="{A9FD8229-8A8D-4D1E-AB5A-CBA34777713F}" name="Reimbursement Amount Requested" totalsRowFunction="sum" dataDxfId="732" totalsRowDxfId="731" dataCellStyle="Currency"/>
  </tableColumns>
  <tableStyleInfo showFirstColumn="0" showLastColumn="0" showRowStripes="1" showColumnStripes="0"/>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4" xr:uid="{1CA9715C-A44F-422B-868B-BE929C00AAA0}" name="Table13267810695" displayName="Table13267810695" ref="A68:G74" totalsRowCount="1" headerRowDxfId="730" dataDxfId="729" tableBorderDxfId="728" totalsRowBorderDxfId="727">
  <autoFilter ref="A68:G73" xr:uid="{1CA9715C-A44F-422B-868B-BE929C00AAA0}"/>
  <tableColumns count="7">
    <tableColumn id="1" xr3:uid="{6EDD26D7-4360-4B70-99D5-2DDFE50B0B09}" name="Activities completed (select from the dropdown list)" totalsRowDxfId="726"/>
    <tableColumn id="7" xr3:uid="{D28549A3-A1D8-4D30-A94F-7F485FD32762}" name="Describe the activity. What was done? What was the topic? How does this support your strategy? What was the desired outcome of this activity? Please be as descriptive/detailed as possible." dataDxfId="725" totalsRowDxfId="724"/>
    <tableColumn id="3" xr3:uid="{F85EEF19-C622-46FA-AFF9-5995A536809E}" name="# of hours" totalsRowFunction="custom" dataDxfId="723" totalsRowDxfId="722">
      <totalsRowFormula>SUM(Table13267810695['# of hours])</totalsRowFormula>
    </tableColumn>
    <tableColumn id="9" xr3:uid="{E49B78DA-7DE3-47C1-8FF5-946339A37B47}" name="# of people reached" totalsRowFunction="custom" dataDxfId="721" totalsRowDxfId="720">
      <totalsRowFormula>SUM(Table13267810695['# of people reached])</totalsRowFormula>
    </tableColumn>
    <tableColumn id="10" xr3:uid="{B8781E39-3A28-43A8-AC4E-8C3D52216580}" name="# of participants" totalsRowFunction="custom" dataDxfId="719" totalsRowDxfId="718">
      <totalsRowFormula>SUM(Table13267810695['# of participants])</totalsRowFormula>
    </tableColumn>
    <tableColumn id="11" xr3:uid="{CED1D656-796E-42E2-B5D0-739E1B38DA7A}" name="# of items handed out" totalsRowFunction="sum" dataDxfId="717" totalsRowDxfId="716"/>
    <tableColumn id="12" xr3:uid="{8CCF06FD-E101-4317-AB60-6132B20B40A0}" name="Reimbursement Amount Requested" totalsRowFunction="sum" dataDxfId="715" totalsRowDxfId="714" dataCellStyle="Currency" totalsRowCellStyle="Currency"/>
  </tableColumns>
  <tableStyleInfo showFirstColumn="0" showLastColumn="0" showRowStripes="1" showColumnStripes="0"/>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5" xr:uid="{08D72364-7CCB-41FA-B556-EB2D53B1DB12}" name="Table1326781011696" displayName="Table1326781011696" ref="A80:G86" totalsRowCount="1" headerRowDxfId="713" dataDxfId="712" tableBorderDxfId="711" totalsRowBorderDxfId="710">
  <autoFilter ref="A80:G85" xr:uid="{08D72364-7CCB-41FA-B556-EB2D53B1DB12}"/>
  <tableColumns count="7">
    <tableColumn id="1" xr3:uid="{0C7F1044-9E97-4B6A-8CB8-45693A4EF638}" name="Activities completed (select from the dropdown list)" totalsRowDxfId="709"/>
    <tableColumn id="7" xr3:uid="{9DD42433-0F4C-4CCD-9C90-80B747844520}" name="Describe the activity. What was done? What was the topic? How does this support your strategy? What was the desired outcome of this activity? Please be as descriptive/detailed as possible." dataDxfId="708" totalsRowDxfId="707"/>
    <tableColumn id="3" xr3:uid="{C43696BA-FC3F-40FA-A0D1-15E25CAB6DF5}" name="# of hours" totalsRowFunction="custom" dataDxfId="706" totalsRowDxfId="705">
      <totalsRowFormula>SUM(Table1326781011696['# of hours])</totalsRowFormula>
    </tableColumn>
    <tableColumn id="9" xr3:uid="{B635F01A-AE60-4375-B1AD-B3F1273705ED}" name="# of people reached" totalsRowFunction="custom" dataDxfId="704" totalsRowDxfId="703">
      <totalsRowFormula>SUM(Table1326781011696['# of people reached])</totalsRowFormula>
    </tableColumn>
    <tableColumn id="10" xr3:uid="{C5C9CADC-7F80-46F6-9994-EBA46E3E51F5}" name="# of participants" totalsRowFunction="custom" dataDxfId="702" totalsRowDxfId="701">
      <totalsRowFormula>SUM(Table1326781011696['# of participants])</totalsRowFormula>
    </tableColumn>
    <tableColumn id="11" xr3:uid="{52455410-92F0-44C3-A6D0-C4C3B1F7553F}" name="# of items handed out" totalsRowFunction="sum" dataDxfId="700" totalsRowDxfId="699"/>
    <tableColumn id="12" xr3:uid="{AD8C9D22-CAE4-4D23-B5DC-93D32ABDC0AA}" name="Reimbursement Amount Requested" totalsRowFunction="sum" dataDxfId="698" totalsRowDxfId="697" dataCellStyle="Currency" totalsRowCellStyle="Currency"/>
  </tableColumns>
  <tableStyleInfo showFirstColumn="0" showLastColumn="0" showRowStripes="1" showColumnStripes="0"/>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6" xr:uid="{2A2F14FD-5DAF-4395-A280-C0B58AF354A7}" name="Table132678101112697" displayName="Table132678101112697" ref="A92:G98" totalsRowCount="1" headerRowDxfId="696" dataDxfId="695" tableBorderDxfId="694" totalsRowBorderDxfId="693">
  <autoFilter ref="A92:G97" xr:uid="{2A2F14FD-5DAF-4395-A280-C0B58AF354A7}"/>
  <tableColumns count="7">
    <tableColumn id="1" xr3:uid="{91FC44F1-06D6-4773-AFEF-44AC1ECA40D3}" name="Activities completed (select from the dropdown list)" totalsRowDxfId="692"/>
    <tableColumn id="7" xr3:uid="{418EA38A-CA32-454B-8150-C4B0C864F65F}" name="Describe the activity. What was done? What was the topic? How does this support your strategy? What was the desired outcome of this activity? Please be as descriptive/detailed as possible." dataDxfId="691" totalsRowDxfId="690"/>
    <tableColumn id="3" xr3:uid="{AC24A145-E990-488D-A766-F7B5ECB10EFB}" name="# of hours" totalsRowFunction="custom" dataDxfId="689" totalsRowDxfId="688">
      <totalsRowFormula>SUM(Table132678101112697['# of hours])</totalsRowFormula>
    </tableColumn>
    <tableColumn id="9" xr3:uid="{3E2BF1FF-ADE6-4871-A8B6-A708EF52CE80}" name="# of people reached" totalsRowFunction="custom" dataDxfId="687" totalsRowDxfId="686">
      <totalsRowFormula>SUM(Table132678101112697['# of people reached])</totalsRowFormula>
    </tableColumn>
    <tableColumn id="10" xr3:uid="{F28CEA01-B920-4731-954F-BA5AC5807607}" name="# of participants" totalsRowFunction="custom" dataDxfId="685" totalsRowDxfId="684">
      <totalsRowFormula>SUM(Table132678101112697['# of participants])</totalsRowFormula>
    </tableColumn>
    <tableColumn id="11" xr3:uid="{62521865-C3FA-464D-A295-8D1DA633F314}" name="# of items handed out" totalsRowFunction="sum" dataDxfId="683" totalsRowDxfId="682"/>
    <tableColumn id="12" xr3:uid="{3C9F3300-CA01-4AB2-BCB7-41D2786A7B26}" name="Reimbursement Amount Requested" totalsRowFunction="sum" dataDxfId="681" totalsRowDxfId="680" dataCellStyle="Currency"/>
  </tableColumns>
  <tableStyleInfo showFirstColumn="0" showLastColumn="0" showRowStripes="1" showColumnStripes="0"/>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7" xr:uid="{03DAC11E-BC3C-4137-9864-237253638DDF}" name="Table132698" displayName="Table132698" ref="A6:G12" totalsRowCount="1" headerRowDxfId="679" dataDxfId="678" tableBorderDxfId="677" totalsRowBorderDxfId="676">
  <autoFilter ref="A6:G11" xr:uid="{03DAC11E-BC3C-4137-9864-237253638DDF}"/>
  <tableColumns count="7">
    <tableColumn id="1" xr3:uid="{FA02C5C1-3BAA-4D68-8F6E-BFEDCAEED7DB}" name="Activities completed (select from the dropdown list)" totalsRowDxfId="675"/>
    <tableColumn id="7" xr3:uid="{5E2264AA-DAE8-4C66-8ACA-41BCEB19DC8C}" name="Describe the activity. What was done? What was the topic? How does this support your strategy? What was the desired outcome of this activity? Please be as descriptive/detailed as possible." dataDxfId="674" totalsRowDxfId="673"/>
    <tableColumn id="3" xr3:uid="{459BC8B3-6F1D-4E69-8DA8-8B25F7C838AC}" name="# of hours" totalsRowFunction="custom" dataDxfId="672" totalsRowDxfId="671">
      <totalsRowFormula>SUM(Table132698['# of hours])</totalsRowFormula>
    </tableColumn>
    <tableColumn id="9" xr3:uid="{3257451C-A264-4D5E-97D5-77A173419F52}" name="# of people reached" totalsRowFunction="custom" dataDxfId="670" totalsRowDxfId="669">
      <totalsRowFormula>SUM(Table132698['# of people reached])</totalsRowFormula>
    </tableColumn>
    <tableColumn id="10" xr3:uid="{BA4CD030-6A68-4B01-A6F1-A276982C9EE3}" name="# of participants" totalsRowFunction="custom" dataDxfId="668" totalsRowDxfId="667">
      <totalsRowFormula>SUM(Table132698['# of participants])</totalsRowFormula>
    </tableColumn>
    <tableColumn id="11" xr3:uid="{D9880A41-1333-44D3-812B-85FE1A2A264E}" name="# of items handed out" totalsRowFunction="sum" dataDxfId="666" totalsRowDxfId="665"/>
    <tableColumn id="12" xr3:uid="{30023E9F-2775-4147-979D-5770F0A62A06}" name="Reimbursement Amount Requested" totalsRowFunction="sum" dataDxfId="664" totalsRowDxfId="663" dataCellStyle="Currency"/>
  </tableColumns>
  <tableStyleInfo showFirstColumn="0" showLastColumn="0" showRowStripes="1" showColumnStripes="0"/>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8" xr:uid="{AC1AECCE-DD6C-4FE8-965A-E91475A7E8F3}" name="Table1326699" displayName="Table1326699" ref="A18:G29" totalsRowCount="1" headerRowDxfId="662" dataDxfId="661" tableBorderDxfId="660" totalsRowBorderDxfId="659">
  <autoFilter ref="A18:G28" xr:uid="{AC1AECCE-DD6C-4FE8-965A-E91475A7E8F3}"/>
  <tableColumns count="7">
    <tableColumn id="1" xr3:uid="{0F8082AB-4D09-4DAE-9CB0-71C6A77F66E0}" name="Activities completed (select from the dropdown list)" totalsRowDxfId="658"/>
    <tableColumn id="7" xr3:uid="{1BE507D2-8A92-4460-8859-AA7255444803}" name="Describe the activity. What was done? What was the topic? How does this support your strategy? What was the desired outcome of this activity? Please be as descriptive/detailed as possible." dataDxfId="657" totalsRowDxfId="656"/>
    <tableColumn id="3" xr3:uid="{6E4E5D34-5578-451C-877F-2935DA705E59}" name="# of hours" totalsRowFunction="custom" dataDxfId="655" totalsRowDxfId="654">
      <totalsRowFormula>SUM(Table1326699['# of hours])</totalsRowFormula>
    </tableColumn>
    <tableColumn id="9" xr3:uid="{F4598E41-9869-495F-BB9F-8ABAFB7F48FC}" name="# of people reached" totalsRowFunction="custom" dataDxfId="653" totalsRowDxfId="652">
      <totalsRowFormula>SUM(Table1326699['# of people reached])</totalsRowFormula>
    </tableColumn>
    <tableColumn id="10" xr3:uid="{AD5CE85A-F066-4AB7-AEEF-DEFC69823B97}" name="# of participants" totalsRowFunction="custom" dataDxfId="651" totalsRowDxfId="650">
      <totalsRowFormula>SUM(Table1326699['# of participants])</totalsRowFormula>
    </tableColumn>
    <tableColumn id="11" xr3:uid="{C7B951CF-4FBC-4F4C-90BB-0EE9EAEB0315}" name="# of items handed out" totalsRowFunction="sum" dataDxfId="649" totalsRowDxfId="648"/>
    <tableColumn id="12" xr3:uid="{AE3C37FD-2958-4365-878B-7B8B8EA5001A}" name="Reimbursement Amount Requested" totalsRowFunction="sum" dataDxfId="647" totalsRowDxfId="646" dataCellStyle="Currency" totalsRowCellStyle="Currency"/>
  </tableColumns>
  <tableStyleInfo showFirstColumn="0" showLastColumn="0" showRowStripes="1" showColumnStripes="0"/>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9" xr:uid="{E66E6F6A-3E87-4EF9-BE97-2FBCEF298FB3}" name="Table13267700" displayName="Table13267700" ref="A35:G41" totalsRowCount="1" headerRowDxfId="645" dataDxfId="644" tableBorderDxfId="643" totalsRowBorderDxfId="642">
  <autoFilter ref="A35:G40" xr:uid="{E66E6F6A-3E87-4EF9-BE97-2FBCEF298FB3}"/>
  <tableColumns count="7">
    <tableColumn id="1" xr3:uid="{D7F56A82-CE9B-4EFF-B14D-68246BDB5689}" name="Activities completed (select from the dropdown list)" totalsRowDxfId="641"/>
    <tableColumn id="7" xr3:uid="{B8BA1238-1F31-4CA7-80F1-B9873AFC3F8E}" name="Describe the activity. What was done? What was the topic? How does this support your strategy? What was the desired outcome of this activity? Please be as descriptive/detailed as possible." dataDxfId="640" totalsRowDxfId="639"/>
    <tableColumn id="3" xr3:uid="{96E05C4F-8931-423E-B754-15C05E7496FF}" name="# of hours" totalsRowFunction="custom" dataDxfId="638" totalsRowDxfId="637">
      <totalsRowFormula>SUM(Table13267700['# of hours])</totalsRowFormula>
    </tableColumn>
    <tableColumn id="9" xr3:uid="{DB281BF2-D76E-48E8-9628-C6BA0AF81D13}" name="# of people reached" totalsRowFunction="custom" dataDxfId="636" totalsRowDxfId="635">
      <totalsRowFormula>SUM(Table13267700['# of people reached])</totalsRowFormula>
    </tableColumn>
    <tableColumn id="10" xr3:uid="{D89C4E08-5950-4116-90F3-4B36CD1D3604}" name="# of participants" totalsRowFunction="custom" dataDxfId="634" totalsRowDxfId="633">
      <totalsRowFormula>SUM(Table13267700['# of participants])</totalsRowFormula>
    </tableColumn>
    <tableColumn id="11" xr3:uid="{79E7D102-5F3A-4429-96DF-A03901AA2823}" name="# of items handed out" totalsRowFunction="sum" dataDxfId="632" totalsRowDxfId="631"/>
    <tableColumn id="12" xr3:uid="{03852544-1719-4787-9EF7-A68F0ECDDDFE}" name="Reimbursement Amount Requested" totalsRowFunction="sum" dataDxfId="630" totalsRowDxfId="629" dataCellStyle="Currency" totalsRowCellStyle="Currency"/>
  </tableColumns>
  <tableStyleInfo showFirstColumn="0" showLastColumn="0" showRowStripes="1" showColumnStripes="0"/>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0" xr:uid="{92FE807B-DB7C-4787-8201-DA86B5D913C9}" name="Table132678701" displayName="Table132678701" ref="A47:G53" totalsRowCount="1" headerRowDxfId="628" dataDxfId="627" tableBorderDxfId="626" totalsRowBorderDxfId="625">
  <autoFilter ref="A47:G52" xr:uid="{92FE807B-DB7C-4787-8201-DA86B5D913C9}"/>
  <tableColumns count="7">
    <tableColumn id="1" xr3:uid="{CE69DBDB-3D40-4315-9570-88E26C7727FB}" name="Activities completed (select from the dropdown list)" totalsRowDxfId="624"/>
    <tableColumn id="7" xr3:uid="{CE628254-36F3-41A8-85EC-91136CE26E5B}" name="Describe the activity. What was done? What was the topic? How does this support your strategy? What was the desired outcome of this activity? Please be as descriptive/detailed as possible." dataDxfId="623" totalsRowDxfId="622"/>
    <tableColumn id="3" xr3:uid="{427A4592-D92F-4F8B-9B14-1547C3F48396}" name="# of hours" totalsRowFunction="custom" dataDxfId="621" totalsRowDxfId="620">
      <totalsRowFormula>SUM(Table132678701['# of hours])</totalsRowFormula>
    </tableColumn>
    <tableColumn id="9" xr3:uid="{8EE11030-62B6-4479-8CE5-C89346FF675B}" name="# of people reached" totalsRowFunction="custom" dataDxfId="619" totalsRowDxfId="618">
      <totalsRowFormula>SUM(Table132678701['# of people reached])</totalsRowFormula>
    </tableColumn>
    <tableColumn id="10" xr3:uid="{DA9915D8-0806-4BCB-99BB-7FFB4496C745}" name="# of participants" totalsRowFunction="custom" dataDxfId="617" totalsRowDxfId="616">
      <totalsRowFormula>SUM(Table132678701['# of participants])</totalsRowFormula>
    </tableColumn>
    <tableColumn id="11" xr3:uid="{817FF4C7-E6F2-4B27-8310-4AEA2473A43B}" name="# of items handed out" totalsRowFunction="sum" dataDxfId="615" totalsRowDxfId="614"/>
    <tableColumn id="12" xr3:uid="{2AE2BB9F-B9A4-42AE-8268-ED8E24FF5DC0}" name="Reimbursement Amount Requested" totalsRowFunction="sum" dataDxfId="613" totalsRowDxfId="612" dataCellStyle="Currency"/>
  </tableColumns>
  <tableStyleInfo showFirstColumn="0" showLastColumn="0" showRowStripes="1" showColumnStripes="0"/>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1" xr:uid="{8949A3B1-2D0A-4F93-B172-6FD46D7D741D}" name="Table1326789702" displayName="Table1326789702" ref="A59:G62" totalsRowCount="1" headerRowDxfId="611" dataDxfId="610" tableBorderDxfId="609" totalsRowBorderDxfId="608">
  <autoFilter ref="A59:G61" xr:uid="{8949A3B1-2D0A-4F93-B172-6FD46D7D741D}"/>
  <tableColumns count="7">
    <tableColumn id="1" xr3:uid="{527E0CD4-3301-4DB1-A415-46207FB6B7E3}" name="Activities completed (select from the dropdown list)" totalsRowDxfId="607"/>
    <tableColumn id="7" xr3:uid="{07DB8695-9C63-405D-842D-82D46FAEBFA7}" name="Describe the activity. What was done? What was the topic? How does this support your strategy? What was the desired outcome of this activity? Please be as descriptive/detailed as possible." dataDxfId="606" totalsRowDxfId="605"/>
    <tableColumn id="3" xr3:uid="{0555E0E2-6CFB-41DC-A6AF-6F9E8AF83D57}" name="# of hours" totalsRowFunction="custom" dataDxfId="604" totalsRowDxfId="603">
      <totalsRowFormula>SUM(Table1326789702['# of hours])</totalsRowFormula>
    </tableColumn>
    <tableColumn id="9" xr3:uid="{C50A5127-5A74-4730-A499-D7A557A61AEB}" name="# of people reached" totalsRowFunction="custom" dataDxfId="602" totalsRowDxfId="601">
      <totalsRowFormula>SUM(Table1326789702['# of people reached])</totalsRowFormula>
    </tableColumn>
    <tableColumn id="10" xr3:uid="{9B3AD362-DC52-461C-9213-4AC6B82581E6}" name="# of participants" totalsRowFunction="custom" dataDxfId="600" totalsRowDxfId="599">
      <totalsRowFormula>SUM(Table1326789702['# of participants])</totalsRowFormula>
    </tableColumn>
    <tableColumn id="11" xr3:uid="{7F30604D-2F20-4402-9FD1-090229C468CA}" name="# of items handed out" totalsRowFunction="sum" dataDxfId="598" totalsRowDxfId="597"/>
    <tableColumn id="12" xr3:uid="{78FF12C4-FE96-452C-8537-9961A1F1A1E1}" name="Reimbursement Amount Requested" totalsRowFunction="sum" dataDxfId="596" totalsRowDxfId="595" dataCellStyle="Currency"/>
  </tableColumns>
  <tableStyleInfo showFirstColumn="0" showLastColumn="0" showRowStripes="1" showColumnStripes="0"/>
</table>
</file>

<file path=xl/tables/table2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2" xr:uid="{77BF8521-48B9-480D-AA16-9301DEB827DF}" name="Table13267810703" displayName="Table13267810703" ref="A68:G74" totalsRowCount="1" headerRowDxfId="594" dataDxfId="593" tableBorderDxfId="592" totalsRowBorderDxfId="591">
  <autoFilter ref="A68:G73" xr:uid="{77BF8521-48B9-480D-AA16-9301DEB827DF}"/>
  <tableColumns count="7">
    <tableColumn id="1" xr3:uid="{C7D206EB-6A4B-4DF1-9BED-FE2421B1BB2F}" name="Activities completed (select from the dropdown list)" totalsRowDxfId="590"/>
    <tableColumn id="7" xr3:uid="{1157D77B-E7CA-4C19-A111-1EA711848324}" name="Describe the activity. What was done? What was the topic? How does this support your strategy? What was the desired outcome of this activity? Please be as descriptive/detailed as possible." dataDxfId="589" totalsRowDxfId="588"/>
    <tableColumn id="3" xr3:uid="{D7E01729-D6D6-41A9-843B-97B0CC484268}" name="# of hours" totalsRowFunction="custom" dataDxfId="587" totalsRowDxfId="586">
      <totalsRowFormula>SUM(Table13267810703['# of hours])</totalsRowFormula>
    </tableColumn>
    <tableColumn id="9" xr3:uid="{3CF522D6-87D4-4F73-9F2D-14DDF75081DB}" name="# of people reached" totalsRowFunction="custom" dataDxfId="585" totalsRowDxfId="584">
      <totalsRowFormula>SUM(Table13267810703['# of people reached])</totalsRowFormula>
    </tableColumn>
    <tableColumn id="10" xr3:uid="{3F8FF1C4-CEAE-46D2-B199-0A21B413DB72}" name="# of participants" totalsRowFunction="custom" dataDxfId="583" totalsRowDxfId="582">
      <totalsRowFormula>SUM(Table13267810703['# of participants])</totalsRowFormula>
    </tableColumn>
    <tableColumn id="11" xr3:uid="{3F6D14A1-95FF-4154-A83E-16A64E1D382B}" name="# of items handed out" totalsRowFunction="sum" dataDxfId="581" totalsRowDxfId="580"/>
    <tableColumn id="12" xr3:uid="{B82C07F1-13DF-400A-8B34-283685E8E210}" name="Reimbursement Amount Requested" totalsRowFunction="sum" dataDxfId="579" totalsRowDxfId="578" dataCellStyle="Currency" totalsRowCellStyle="Currency"/>
  </tableColumns>
  <tableStyleInfo showFirstColumn="0" showLastColumn="0" showRowStripes="1" showColumnStripes="0"/>
</table>
</file>

<file path=xl/tables/table2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3" xr:uid="{8F37F66B-CB0C-4C36-9952-2096038CDA6D}" name="Table1326781011704" displayName="Table1326781011704" ref="A80:G86" totalsRowCount="1" headerRowDxfId="577" dataDxfId="576" tableBorderDxfId="575" totalsRowBorderDxfId="574">
  <autoFilter ref="A80:G85" xr:uid="{8F37F66B-CB0C-4C36-9952-2096038CDA6D}"/>
  <tableColumns count="7">
    <tableColumn id="1" xr3:uid="{AD13A247-54AC-4044-8A79-26DC0C2770F2}" name="Activities completed (select from the dropdown list)" totalsRowDxfId="573"/>
    <tableColumn id="7" xr3:uid="{8D205549-FA2D-48B7-ABC3-7312B7B9A527}" name="Describe the activity. What was done? What was the topic? How does this support your strategy? What was the desired outcome of this activity? Please be as descriptive/detailed as possible." dataDxfId="572" totalsRowDxfId="571"/>
    <tableColumn id="3" xr3:uid="{9A4F055C-694F-4887-BC04-7859C9E9DBA1}" name="# of hours" totalsRowFunction="custom" dataDxfId="570" totalsRowDxfId="569">
      <totalsRowFormula>SUM(Table1326781011704['# of hours])</totalsRowFormula>
    </tableColumn>
    <tableColumn id="9" xr3:uid="{410083AC-F5E6-464E-938A-8719DE1BDC68}" name="# of people reached" totalsRowFunction="custom" dataDxfId="568" totalsRowDxfId="567">
      <totalsRowFormula>SUM(Table1326781011704['# of people reached])</totalsRowFormula>
    </tableColumn>
    <tableColumn id="10" xr3:uid="{F07002AE-8702-462C-BC51-3EF929624EDC}" name="# of participants" totalsRowFunction="custom" dataDxfId="566" totalsRowDxfId="565">
      <totalsRowFormula>SUM(Table1326781011704['# of participants])</totalsRowFormula>
    </tableColumn>
    <tableColumn id="11" xr3:uid="{FA89F033-779F-42B0-B312-1825100D0FEE}" name="# of items handed out" totalsRowFunction="sum" dataDxfId="564" totalsRowDxfId="563"/>
    <tableColumn id="12" xr3:uid="{BDF04341-FB0B-4EA8-B08B-3E0A65DB0FA2}" name="Reimbursement Amount Requested" totalsRowFunction="sum" dataDxfId="562" totalsRowDxfId="561" dataCellStyle="Currency" totalsRowCellStyle="Currency"/>
  </tableColumns>
  <tableStyleInfo showFirstColumn="0" showLastColumn="0" showRowStripes="1" showColumnStripes="0"/>
</table>
</file>

<file path=xl/tables/table2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4" xr:uid="{35ACB01F-FF6C-4A0E-BA5C-2905579FD17E}" name="Table132678101112705" displayName="Table132678101112705" ref="A92:G98" totalsRowCount="1" headerRowDxfId="560" dataDxfId="559" tableBorderDxfId="558" totalsRowBorderDxfId="557">
  <autoFilter ref="A92:G97" xr:uid="{35ACB01F-FF6C-4A0E-BA5C-2905579FD17E}"/>
  <tableColumns count="7">
    <tableColumn id="1" xr3:uid="{886F53D0-471C-44F6-9933-81F247FDE1DB}" name="Activities completed (select from the dropdown list)" totalsRowDxfId="556"/>
    <tableColumn id="7" xr3:uid="{55E1A483-C823-4140-B03D-D48AB183AA9A}" name="Describe the activity. What was done? What was the topic? How does this support your strategy? What was the desired outcome of this activity? Please be as descriptive/detailed as possible." dataDxfId="555" totalsRowDxfId="554"/>
    <tableColumn id="3" xr3:uid="{8770A03F-434D-4D28-8DC5-05363D137D04}" name="# of hours" totalsRowFunction="custom" dataDxfId="553" totalsRowDxfId="552">
      <totalsRowFormula>SUM(Table132678101112705['# of hours])</totalsRowFormula>
    </tableColumn>
    <tableColumn id="9" xr3:uid="{A77A3560-1D39-4CE2-BFCB-36978F50DEAE}" name="# of people reached" totalsRowFunction="custom" dataDxfId="551" totalsRowDxfId="550">
      <totalsRowFormula>SUM(Table132678101112705['# of people reached])</totalsRowFormula>
    </tableColumn>
    <tableColumn id="10" xr3:uid="{258DEA6D-B2CE-4507-9383-84F8DE2790A7}" name="# of participants" totalsRowFunction="custom" dataDxfId="549" totalsRowDxfId="548">
      <totalsRowFormula>SUM(Table132678101112705['# of participants])</totalsRowFormula>
    </tableColumn>
    <tableColumn id="11" xr3:uid="{21C72EA5-43B0-44F7-AD9B-2E2F4D712FB6}" name="# of items handed out" totalsRowFunction="sum" dataDxfId="547" totalsRowDxfId="546"/>
    <tableColumn id="12" xr3:uid="{4D80882C-ECF6-497F-84CA-051DAE0F30EC}" name="Reimbursement Amount Requested" totalsRowFunction="sum" dataDxfId="545" totalsRowDxfId="544" dataCellStyle="Currency"/>
  </tableColumns>
  <tableStyleInfo showFirstColumn="0" showLastColumn="0" showRowStripes="1" showColumnStripes="0"/>
</table>
</file>

<file path=xl/tables/table2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5" xr:uid="{EAC34F19-76D8-4EDE-A3B1-B674D2D2DA9F}" name="Table132706" displayName="Table132706" ref="A6:G12" totalsRowCount="1" headerRowDxfId="543" dataDxfId="542" tableBorderDxfId="541" totalsRowBorderDxfId="540">
  <autoFilter ref="A6:G11" xr:uid="{EAC34F19-76D8-4EDE-A3B1-B674D2D2DA9F}"/>
  <tableColumns count="7">
    <tableColumn id="1" xr3:uid="{3111915B-A4F6-42D3-BBC1-B4CC7A524195}" name="Activities completed (select from the dropdown list)" totalsRowDxfId="539"/>
    <tableColumn id="7" xr3:uid="{A9ECCF83-9A34-4B27-9832-939AFF8ED0A1}" name="Describe the activity. What was done? What was the topic? How does this support your strategy? What was the desired outcome of this activity? Please be as descriptive/detailed as possible." dataDxfId="538" totalsRowDxfId="537"/>
    <tableColumn id="3" xr3:uid="{7AD1EC26-E413-47DC-B91A-6DA4F15FD00A}" name="# of hours" totalsRowFunction="custom" dataDxfId="536" totalsRowDxfId="535">
      <totalsRowFormula>SUM(Table132706['# of hours])</totalsRowFormula>
    </tableColumn>
    <tableColumn id="9" xr3:uid="{F115615E-F3C4-461E-9A87-9244104773B7}" name="# of people reached" totalsRowFunction="custom" dataDxfId="534" totalsRowDxfId="533">
      <totalsRowFormula>SUM(Table132706['# of people reached])</totalsRowFormula>
    </tableColumn>
    <tableColumn id="10" xr3:uid="{5711C57F-DF33-4BFD-914B-3163F7E00A37}" name="# of participants" totalsRowFunction="custom" dataDxfId="532" totalsRowDxfId="531">
      <totalsRowFormula>SUM(Table132706['# of participants])</totalsRowFormula>
    </tableColumn>
    <tableColumn id="11" xr3:uid="{72F87F6A-E780-41A1-B3DF-26A3A13B9128}" name="# of items handed out" totalsRowFunction="sum" dataDxfId="530" totalsRowDxfId="529"/>
    <tableColumn id="12" xr3:uid="{0761D4ED-192F-4520-ABE8-875D100B65F6}" name="Reimbursement Amount Requested" totalsRowFunction="sum" dataDxfId="528" totalsRowDxfId="527" dataCellStyle="Currency"/>
  </tableColumns>
  <tableStyleInfo showFirstColumn="0" showLastColumn="0" showRowStripes="1" showColumnStripes="0"/>
</table>
</file>

<file path=xl/tables/table2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6" xr:uid="{87C6AC21-FE7A-49A9-8553-B35E65C3A3DF}" name="Table1326707" displayName="Table1326707" ref="A18:G29" totalsRowCount="1" headerRowDxfId="526" dataDxfId="525" tableBorderDxfId="524" totalsRowBorderDxfId="523">
  <autoFilter ref="A18:G28" xr:uid="{87C6AC21-FE7A-49A9-8553-B35E65C3A3DF}"/>
  <tableColumns count="7">
    <tableColumn id="1" xr3:uid="{10029FC6-BB02-4B82-A445-19125E1FA340}" name="Activities completed (select from the dropdown list)" totalsRowDxfId="522"/>
    <tableColumn id="7" xr3:uid="{BBC0F40D-9578-437E-9463-37D1EC634C89}" name="Describe the activity. What was done? What was the topic? How does this support your strategy? What was the desired outcome of this activity? Please be as descriptive/detailed as possible." dataDxfId="521" totalsRowDxfId="520"/>
    <tableColumn id="3" xr3:uid="{88C4B9C5-945D-4DBC-8923-343B43920C8C}" name="# of hours" totalsRowFunction="custom" dataDxfId="519" totalsRowDxfId="518">
      <totalsRowFormula>SUM(Table1326707['# of hours])</totalsRowFormula>
    </tableColumn>
    <tableColumn id="9" xr3:uid="{268FC787-2F20-4204-9183-0AD1FC5924B5}" name="# of people reached" totalsRowFunction="custom" dataDxfId="517" totalsRowDxfId="516">
      <totalsRowFormula>SUM(Table1326707['# of people reached])</totalsRowFormula>
    </tableColumn>
    <tableColumn id="10" xr3:uid="{8781BE3F-1149-45EE-A0E6-5CF8052B76CA}" name="# of participants" totalsRowFunction="custom" dataDxfId="515" totalsRowDxfId="514">
      <totalsRowFormula>SUM(Table1326707['# of participants])</totalsRowFormula>
    </tableColumn>
    <tableColumn id="11" xr3:uid="{159BD859-5363-49B8-99F2-71192BD4BB45}" name="# of items handed out" totalsRowFunction="sum" dataDxfId="513" totalsRowDxfId="512"/>
    <tableColumn id="12" xr3:uid="{7F5ED20A-138E-4CB4-8D96-B34191627257}" name="Reimbursement Amount Requested" totalsRowFunction="sum" dataDxfId="511" totalsRowDxfId="510" dataCellStyle="Currency" totalsRowCellStyle="Currency"/>
  </tableColumns>
  <tableStyleInfo showFirstColumn="0" showLastColumn="0" showRowStripes="1" showColumnStripes="0"/>
</table>
</file>

<file path=xl/tables/table2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7" xr:uid="{8FC63087-3FA3-4711-8972-E5BF93C6F439}" name="Table13267708" displayName="Table13267708" ref="A35:G41" totalsRowCount="1" headerRowDxfId="509" dataDxfId="508" tableBorderDxfId="507" totalsRowBorderDxfId="506">
  <autoFilter ref="A35:G40" xr:uid="{8FC63087-3FA3-4711-8972-E5BF93C6F439}"/>
  <tableColumns count="7">
    <tableColumn id="1" xr3:uid="{961203B6-F5DE-44D8-81AE-EB8F68BFC47A}" name="Activities completed (select from the dropdown list)" totalsRowDxfId="505"/>
    <tableColumn id="7" xr3:uid="{ECEEC73E-38E5-469A-AB2F-D64CC4A10334}" name="Describe the activity. What was done? What was the topic? How does this support your strategy? What was the desired outcome of this activity? Please be as descriptive/detailed as possible." dataDxfId="504" totalsRowDxfId="503"/>
    <tableColumn id="3" xr3:uid="{4280B40F-3381-4195-B95F-DF80D259F78A}" name="# of hours" totalsRowFunction="custom" dataDxfId="502" totalsRowDxfId="501">
      <totalsRowFormula>SUM(Table13267708['# of hours])</totalsRowFormula>
    </tableColumn>
    <tableColumn id="9" xr3:uid="{115E8F83-9082-4995-AFAB-12DB06D84663}" name="# of people reached" totalsRowFunction="custom" dataDxfId="500" totalsRowDxfId="499">
      <totalsRowFormula>SUM(Table13267708['# of people reached])</totalsRowFormula>
    </tableColumn>
    <tableColumn id="10" xr3:uid="{AB8EAEB8-DD87-472C-8CC3-9770E43B2FAD}" name="# of participants" totalsRowFunction="custom" dataDxfId="498" totalsRowDxfId="497">
      <totalsRowFormula>SUM(Table13267708['# of participants])</totalsRowFormula>
    </tableColumn>
    <tableColumn id="11" xr3:uid="{B7A9CAD3-6E18-4453-A075-80BFD31604AB}" name="# of items handed out" totalsRowFunction="sum" dataDxfId="496" totalsRowDxfId="495"/>
    <tableColumn id="12" xr3:uid="{141FA454-7218-4DF1-B10A-7FB74F7A6944}" name="Reimbursement Amount Requested" totalsRowFunction="sum" dataDxfId="494" totalsRowDxfId="493" dataCellStyle="Currency" totalsRowCellStyle="Currency"/>
  </tableColumns>
  <tableStyleInfo showFirstColumn="0" showLastColumn="0" showRowStripes="1" showColumnStripes="0"/>
</table>
</file>

<file path=xl/tables/table2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8" xr:uid="{1427CB94-D97D-4761-8637-0840ACDD01A1}" name="Table132678709" displayName="Table132678709" ref="A47:G53" totalsRowCount="1" headerRowDxfId="492" dataDxfId="491" tableBorderDxfId="490" totalsRowBorderDxfId="489">
  <autoFilter ref="A47:G52" xr:uid="{1427CB94-D97D-4761-8637-0840ACDD01A1}"/>
  <tableColumns count="7">
    <tableColumn id="1" xr3:uid="{1BE793FF-1548-4452-A94F-CF330E5EACE7}" name="Activities completed (select from the dropdown list)" totalsRowDxfId="488"/>
    <tableColumn id="7" xr3:uid="{74FC8C02-4E68-471B-8393-BC8F19FB7073}" name="Describe the activity. What was done? What was the topic? How does this support your strategy? What was the desired outcome of this activity? Please be as descriptive/detailed as possible." dataDxfId="487" totalsRowDxfId="486"/>
    <tableColumn id="3" xr3:uid="{83F70C56-D9D0-4295-B9BC-4D98D115CB4A}" name="# of hours" totalsRowFunction="custom" dataDxfId="485" totalsRowDxfId="484">
      <totalsRowFormula>SUM(Table132678709['# of hours])</totalsRowFormula>
    </tableColumn>
    <tableColumn id="9" xr3:uid="{9FE81FA7-C6BC-40D0-B487-66D6D6849FCF}" name="# of people reached" totalsRowFunction="custom" dataDxfId="483" totalsRowDxfId="482">
      <totalsRowFormula>SUM(Table132678709['# of people reached])</totalsRowFormula>
    </tableColumn>
    <tableColumn id="10" xr3:uid="{752A0FBD-555B-4C1E-938E-98DAE14D394C}" name="# of participants" totalsRowFunction="custom" dataDxfId="481" totalsRowDxfId="480">
      <totalsRowFormula>SUM(Table132678709['# of participants])</totalsRowFormula>
    </tableColumn>
    <tableColumn id="11" xr3:uid="{9C13EFAB-26E9-49BB-AA2B-862D174B107D}" name="# of items handed out" totalsRowFunction="sum" dataDxfId="479" totalsRowDxfId="478"/>
    <tableColumn id="12" xr3:uid="{96D4E05F-B367-443C-83D9-C9192E61643F}" name="Reimbursement Amount Requested" totalsRowFunction="sum" dataDxfId="477" totalsRowDxfId="476" dataCellStyle="Currency"/>
  </tableColumns>
  <tableStyleInfo showFirstColumn="0" showLastColumn="0" showRowStripes="1" showColumnStripes="0"/>
</table>
</file>

<file path=xl/tables/table2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9" xr:uid="{D069855A-1796-4FDE-B3C6-6302BB8799F3}" name="Table1326789710" displayName="Table1326789710" ref="A59:G62" totalsRowCount="1" headerRowDxfId="475" dataDxfId="474" tableBorderDxfId="473" totalsRowBorderDxfId="472">
  <autoFilter ref="A59:G61" xr:uid="{D069855A-1796-4FDE-B3C6-6302BB8799F3}"/>
  <tableColumns count="7">
    <tableColumn id="1" xr3:uid="{186D81C2-C9F0-4908-BEFE-6AE4B2011307}" name="Activities completed (select from the dropdown list)" totalsRowDxfId="471"/>
    <tableColumn id="7" xr3:uid="{5368BD69-00ED-43CC-8594-6D20434661CF}" name="Describe the activity. What was done? What was the topic? How does this support your strategy? What was the desired outcome of this activity? Please be as descriptive/detailed as possible." dataDxfId="470" totalsRowDxfId="469"/>
    <tableColumn id="3" xr3:uid="{8F690E1A-BA85-40AC-9004-4390300356E2}" name="# of hours" totalsRowFunction="custom" dataDxfId="468" totalsRowDxfId="467">
      <totalsRowFormula>SUM(Table1326789710['# of hours])</totalsRowFormula>
    </tableColumn>
    <tableColumn id="9" xr3:uid="{6F7BEF8F-13AE-4E51-AFA8-CFEC60221365}" name="# of people reached" totalsRowFunction="custom" dataDxfId="466" totalsRowDxfId="465">
      <totalsRowFormula>SUM(Table1326789710['# of people reached])</totalsRowFormula>
    </tableColumn>
    <tableColumn id="10" xr3:uid="{5C2A849E-505F-4B0D-8981-0D704C9BAC45}" name="# of participants" totalsRowFunction="custom" dataDxfId="464" totalsRowDxfId="463">
      <totalsRowFormula>SUM(Table1326789710['# of participants])</totalsRowFormula>
    </tableColumn>
    <tableColumn id="11" xr3:uid="{E28E85B1-C674-428F-B17C-FAC204EDDA22}" name="# of items handed out" totalsRowFunction="sum" dataDxfId="462" totalsRowDxfId="461"/>
    <tableColumn id="12" xr3:uid="{4F71BAD6-E82B-4357-A65A-B72773BB78ED}" name="Reimbursement Amount Requested" totalsRowFunction="sum" dataDxfId="460" totalsRowDxfId="459" dataCellStyle="Currency"/>
  </tableColumns>
  <tableStyleInfo showFirstColumn="0" showLastColumn="0" showRowStripes="1" showColumnStripes="0"/>
</table>
</file>

<file path=xl/tables/table2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0" xr:uid="{6B4D9AEA-4114-4C35-AB13-4BB030942301}" name="Table13267810711" displayName="Table13267810711" ref="A68:G74" totalsRowCount="1" headerRowDxfId="458" dataDxfId="457" tableBorderDxfId="456" totalsRowBorderDxfId="455">
  <autoFilter ref="A68:G73" xr:uid="{6B4D9AEA-4114-4C35-AB13-4BB030942301}"/>
  <tableColumns count="7">
    <tableColumn id="1" xr3:uid="{AAC65CE2-6DDD-4C02-A730-0D4C9DE9C7CE}" name="Activities completed (select from the dropdown list)" totalsRowDxfId="454"/>
    <tableColumn id="7" xr3:uid="{123AF122-BE58-4A7C-A614-36F5764AF508}" name="Describe the activity. What was done? What was the topic? How does this support your strategy? What was the desired outcome of this activity? Please be as descriptive/detailed as possible." dataDxfId="453" totalsRowDxfId="452"/>
    <tableColumn id="3" xr3:uid="{572AA499-43EA-4A2B-9CD6-96D40A7C5125}" name="# of hours" totalsRowFunction="custom" dataDxfId="451" totalsRowDxfId="450">
      <totalsRowFormula>SUM(Table13267810711['# of hours])</totalsRowFormula>
    </tableColumn>
    <tableColumn id="9" xr3:uid="{C1FB9253-FB91-4C9C-B05C-19587571DB92}" name="# of people reached" totalsRowFunction="custom" dataDxfId="449" totalsRowDxfId="448">
      <totalsRowFormula>SUM(Table13267810711['# of people reached])</totalsRowFormula>
    </tableColumn>
    <tableColumn id="10" xr3:uid="{20BB5133-01F1-4A70-BF60-EB568A71773A}" name="# of participants" totalsRowFunction="custom" dataDxfId="447" totalsRowDxfId="446">
      <totalsRowFormula>SUM(Table13267810711['# of participants])</totalsRowFormula>
    </tableColumn>
    <tableColumn id="11" xr3:uid="{CDE602FF-8EBB-4C46-B7FF-03E32AB36EEF}" name="# of items handed out" totalsRowFunction="sum" dataDxfId="445" totalsRowDxfId="444"/>
    <tableColumn id="12" xr3:uid="{3B0F466A-FAEA-4E80-9779-5ECCB3FF83EB}" name="Reimbursement Amount Requested" totalsRowFunction="sum" dataDxfId="443" totalsRowDxfId="442" dataCellStyle="Currency" totalsRowCellStyle="Currency"/>
  </tableColumns>
  <tableStyleInfo showFirstColumn="0" showLastColumn="0" showRowStripes="1" showColumnStripes="0"/>
</table>
</file>

<file path=xl/tables/table2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1" xr:uid="{B03BE87B-FE16-428A-984C-E5CB06994D1D}" name="Table1326781011712" displayName="Table1326781011712" ref="A80:G86" totalsRowCount="1" headerRowDxfId="441" dataDxfId="440" tableBorderDxfId="439" totalsRowBorderDxfId="438">
  <autoFilter ref="A80:G85" xr:uid="{B03BE87B-FE16-428A-984C-E5CB06994D1D}"/>
  <tableColumns count="7">
    <tableColumn id="1" xr3:uid="{6558082A-7C0E-4B1B-AE84-D35367B0D10C}" name="Activities completed (select from the dropdown list)" totalsRowDxfId="437"/>
    <tableColumn id="7" xr3:uid="{22229D15-9ECC-49D3-86A1-6264A052B110}" name="Describe the activity. What was done? What was the topic? How does this support your strategy? What was the desired outcome of this activity? Please be as descriptive/detailed as possible." dataDxfId="436" totalsRowDxfId="435"/>
    <tableColumn id="3" xr3:uid="{EFB5A004-3339-4930-BAF0-EAE8490AD745}" name="# of hours" totalsRowFunction="custom" dataDxfId="434" totalsRowDxfId="433">
      <totalsRowFormula>SUM(Table1326781011712['# of hours])</totalsRowFormula>
    </tableColumn>
    <tableColumn id="9" xr3:uid="{52B2D30E-90E4-49B3-B0B1-A7383C42BC22}" name="# of people reached" totalsRowFunction="custom" dataDxfId="432" totalsRowDxfId="431">
      <totalsRowFormula>SUM(Table1326781011712['# of people reached])</totalsRowFormula>
    </tableColumn>
    <tableColumn id="10" xr3:uid="{20F5A884-1986-4783-B37D-5804DCFD0EF2}" name="# of participants" totalsRowFunction="custom" dataDxfId="430" totalsRowDxfId="429">
      <totalsRowFormula>SUM(Table1326781011712['# of participants])</totalsRowFormula>
    </tableColumn>
    <tableColumn id="11" xr3:uid="{B3681CF8-8A27-4631-B5FB-613CEFEAC385}" name="# of items handed out" totalsRowFunction="sum" dataDxfId="428" totalsRowDxfId="427"/>
    <tableColumn id="12" xr3:uid="{9A20F8F2-6B9E-475B-8B06-3D5E151372C1}" name="Reimbursement Amount Requested" totalsRowFunction="sum" dataDxfId="426" totalsRowDxfId="425" dataCellStyle="Currency" totalsRowCellStyle="Currency"/>
  </tableColumns>
  <tableStyleInfo showFirstColumn="0" showLastColumn="0" showRowStripes="1" showColumnStripes="0"/>
</table>
</file>

<file path=xl/tables/table2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2" xr:uid="{66FBB286-DF9D-42D0-BA02-8867C8F7CD15}" name="Table132678101112713" displayName="Table132678101112713" ref="A92:G98" totalsRowCount="1" headerRowDxfId="424" dataDxfId="423" tableBorderDxfId="422" totalsRowBorderDxfId="421">
  <autoFilter ref="A92:G97" xr:uid="{66FBB286-DF9D-42D0-BA02-8867C8F7CD15}"/>
  <tableColumns count="7">
    <tableColumn id="1" xr3:uid="{C908726F-6BCC-4F2E-9BAE-E108311A1524}" name="Activities completed (select from the dropdown list)" totalsRowDxfId="420"/>
    <tableColumn id="7" xr3:uid="{41276C27-2E9C-4463-A7C2-542FE505E10E}" name="Describe the activity. What was done? What was the topic? How does this support your strategy? What was the desired outcome of this activity? Please be as descriptive/detailed as possible." dataDxfId="419" totalsRowDxfId="418"/>
    <tableColumn id="3" xr3:uid="{418C62F6-64EB-4ECC-B200-EAC37F429AB7}" name="# of hours" totalsRowFunction="custom" dataDxfId="417" totalsRowDxfId="416">
      <totalsRowFormula>SUM(Table132678101112713['# of hours])</totalsRowFormula>
    </tableColumn>
    <tableColumn id="9" xr3:uid="{4DF5E10A-4296-48F1-AACD-2A5C742A7154}" name="# of people reached" totalsRowFunction="custom" dataDxfId="415" totalsRowDxfId="414">
      <totalsRowFormula>SUM(Table132678101112713['# of people reached])</totalsRowFormula>
    </tableColumn>
    <tableColumn id="10" xr3:uid="{A6523169-2943-41B8-97FA-E8BE10F3F30C}" name="# of participants" totalsRowFunction="custom" dataDxfId="413" totalsRowDxfId="412">
      <totalsRowFormula>SUM(Table132678101112713['# of participants])</totalsRowFormula>
    </tableColumn>
    <tableColumn id="11" xr3:uid="{82F6FE04-CA7C-416F-9F57-CDFAE8C0564E}" name="# of items handed out" totalsRowFunction="sum" dataDxfId="411" totalsRowDxfId="410"/>
    <tableColumn id="12" xr3:uid="{3F1C1538-282F-4E11-B9DF-C90C07359C8A}" name="Reimbursement Amount Requested" totalsRowFunction="sum" dataDxfId="409" totalsRowDxfId="408" dataCellStyle="Currency"/>
  </tableColumns>
  <tableStyleInfo showFirstColumn="0" showLastColumn="0" showRowStripes="1" showColumnStripes="0"/>
</table>
</file>

<file path=xl/tables/table2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3" xr:uid="{55C6202C-DCD7-4DE2-B997-CDAF278C10C4}" name="Table132714" displayName="Table132714" ref="A6:G12" totalsRowCount="1" headerRowDxfId="407" dataDxfId="406" tableBorderDxfId="405" totalsRowBorderDxfId="404">
  <autoFilter ref="A6:G11" xr:uid="{55C6202C-DCD7-4DE2-B997-CDAF278C10C4}"/>
  <tableColumns count="7">
    <tableColumn id="1" xr3:uid="{01AB652C-17CF-4EA6-84D8-57FAC45AD203}" name="Activities completed (select from the dropdown list)" totalsRowDxfId="403"/>
    <tableColumn id="7" xr3:uid="{5290D20F-9AC4-4B88-B9CB-FC46E6C0DB93}" name="Describe the activity. What was done? What was the topic? How does this support your strategy? What was the desired outcome of this activity? Please be as descriptive/detailed as possible." dataDxfId="402" totalsRowDxfId="401"/>
    <tableColumn id="3" xr3:uid="{413BE5E6-2E54-48AC-B27B-FAF659CDF850}" name="# of hours" totalsRowFunction="custom" dataDxfId="400" totalsRowDxfId="399">
      <totalsRowFormula>SUM(Table132714['# of hours])</totalsRowFormula>
    </tableColumn>
    <tableColumn id="9" xr3:uid="{0B30580B-824D-43BF-BC9B-0B44E7674F7D}" name="# of people reached" totalsRowFunction="custom" dataDxfId="398" totalsRowDxfId="397">
      <totalsRowFormula>SUM(Table132714['# of people reached])</totalsRowFormula>
    </tableColumn>
    <tableColumn id="10" xr3:uid="{83E96C2C-01AA-46BE-9218-EAEC5447A69D}" name="# of participants" totalsRowFunction="custom" dataDxfId="396" totalsRowDxfId="395">
      <totalsRowFormula>SUM(Table132714['# of participants])</totalsRowFormula>
    </tableColumn>
    <tableColumn id="11" xr3:uid="{0CFA9C1C-87A7-4D53-9C74-9590D8E7F243}" name="# of items handed out" totalsRowFunction="sum" dataDxfId="394" totalsRowDxfId="393"/>
    <tableColumn id="12" xr3:uid="{74B27C34-2A9F-411A-87EE-B9CAA5CEA8DE}" name="Reimbursement Amount Requested" totalsRowFunction="sum" dataDxfId="392" totalsRowDxfId="391" dataCellStyle="Currency"/>
  </tableColumns>
  <tableStyleInfo showFirstColumn="0" showLastColumn="0" showRowStripes="1" showColumnStripes="0"/>
</table>
</file>

<file path=xl/tables/table2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4" xr:uid="{F1DE415F-88C2-45FF-B985-AFF99B9091EF}" name="Table1326715" displayName="Table1326715" ref="A18:G29" totalsRowCount="1" headerRowDxfId="390" dataDxfId="389" tableBorderDxfId="388" totalsRowBorderDxfId="387">
  <autoFilter ref="A18:G28" xr:uid="{F1DE415F-88C2-45FF-B985-AFF99B9091EF}"/>
  <tableColumns count="7">
    <tableColumn id="1" xr3:uid="{3B61B0AE-76BE-46BD-B1D9-5DF175622DB7}" name="Activities completed (select from the dropdown list)" totalsRowDxfId="386"/>
    <tableColumn id="7" xr3:uid="{DCFB4C14-8D50-4E27-838F-B6D2796B9983}" name="Describe the activity. What was done? What was the topic? How does this support your strategy? What was the desired outcome of this activity? Please be as descriptive/detailed as possible." dataDxfId="385" totalsRowDxfId="384"/>
    <tableColumn id="3" xr3:uid="{3CF2617D-F093-466B-B90C-EDDAAAF8C0B1}" name="# of hours" totalsRowFunction="custom" dataDxfId="383" totalsRowDxfId="382">
      <totalsRowFormula>SUM(Table1326715['# of hours])</totalsRowFormula>
    </tableColumn>
    <tableColumn id="9" xr3:uid="{4FCB429E-89D5-4676-B5B9-9C87637D3E77}" name="# of people reached" totalsRowFunction="custom" dataDxfId="381" totalsRowDxfId="380">
      <totalsRowFormula>SUM(Table1326715['# of people reached])</totalsRowFormula>
    </tableColumn>
    <tableColumn id="10" xr3:uid="{F7DEE4CE-19EA-4278-B923-528E88C73F1D}" name="# of participants" totalsRowFunction="custom" dataDxfId="379" totalsRowDxfId="378">
      <totalsRowFormula>SUM(Table1326715['# of participants])</totalsRowFormula>
    </tableColumn>
    <tableColumn id="11" xr3:uid="{D0094DEA-0130-45A3-A842-6CF28A3DE2F7}" name="# of items handed out" totalsRowFunction="sum" dataDxfId="377" totalsRowDxfId="376"/>
    <tableColumn id="12" xr3:uid="{25B23498-5645-4956-BC44-0D4E1C96A5F2}" name="Reimbursement Amount Requested" totalsRowFunction="sum" dataDxfId="375" totalsRowDxfId="374" dataCellStyle="Currency" totalsRowCellStyle="Currency"/>
  </tableColumns>
  <tableStyleInfo showFirstColumn="0" showLastColumn="0" showRowStripes="1" showColumnStripes="0"/>
</table>
</file>

<file path=xl/tables/table2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5" xr:uid="{3BD6700A-58CD-4063-A605-397B5CF3945E}" name="Table13267716" displayName="Table13267716" ref="A35:G41" totalsRowCount="1" headerRowDxfId="373" dataDxfId="372" tableBorderDxfId="371" totalsRowBorderDxfId="370">
  <autoFilter ref="A35:G40" xr:uid="{3BD6700A-58CD-4063-A605-397B5CF3945E}"/>
  <tableColumns count="7">
    <tableColumn id="1" xr3:uid="{EBD57CEA-FBE1-496C-AA6A-A74337823FEB}" name="Activities completed (select from the dropdown list)" totalsRowDxfId="369"/>
    <tableColumn id="7" xr3:uid="{DFF7BEEB-8974-4AD2-8673-CD13C0ECDBED}" name="Describe the activity. What was done? What was the topic? How does this support your strategy? What was the desired outcome of this activity? Please be as descriptive/detailed as possible." dataDxfId="368" totalsRowDxfId="367"/>
    <tableColumn id="3" xr3:uid="{282CEC53-C463-4F64-A518-AC5D6C5F93EB}" name="# of hours" totalsRowFunction="custom" dataDxfId="366" totalsRowDxfId="365">
      <totalsRowFormula>SUM(Table13267716['# of hours])</totalsRowFormula>
    </tableColumn>
    <tableColumn id="9" xr3:uid="{1599FB37-249D-45FE-B3C3-BAA97E3A2E49}" name="# of people reached" totalsRowFunction="custom" dataDxfId="364" totalsRowDxfId="363">
      <totalsRowFormula>SUM(Table13267716['# of people reached])</totalsRowFormula>
    </tableColumn>
    <tableColumn id="10" xr3:uid="{1D2EC3E9-0375-440B-8F2F-E3FE4F045A73}" name="# of participants" totalsRowFunction="custom" dataDxfId="362" totalsRowDxfId="361">
      <totalsRowFormula>SUM(Table13267716['# of participants])</totalsRowFormula>
    </tableColumn>
    <tableColumn id="11" xr3:uid="{B168C57A-1273-4603-9F8F-F15A5A0DBA9D}" name="# of items handed out" totalsRowFunction="sum" dataDxfId="360" totalsRowDxfId="359"/>
    <tableColumn id="12" xr3:uid="{8C560AD1-4B81-44B9-B898-384B063BD105}" name="Reimbursement Amount Requested" totalsRowFunction="sum" dataDxfId="358" totalsRowDxfId="357" dataCellStyle="Currency" totalsRowCellStyle="Currency"/>
  </tableColumns>
  <tableStyleInfo showFirstColumn="0" showLastColumn="0" showRowStripes="1" showColumnStripes="0"/>
</table>
</file>

<file path=xl/tables/table2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6" xr:uid="{3483D46B-0708-4597-AEAB-618B19AFE62D}" name="Table132678717" displayName="Table132678717" ref="A47:G53" totalsRowCount="1" headerRowDxfId="356" dataDxfId="355" tableBorderDxfId="354" totalsRowBorderDxfId="353">
  <autoFilter ref="A47:G52" xr:uid="{3483D46B-0708-4597-AEAB-618B19AFE62D}"/>
  <tableColumns count="7">
    <tableColumn id="1" xr3:uid="{E32A8683-574F-46AF-903A-F30C58151EA9}" name="Activities completed (select from the dropdown list)" totalsRowDxfId="352"/>
    <tableColumn id="7" xr3:uid="{2CF14D8E-2D9E-4D33-B93B-0B6D821B6984}" name="Describe the activity. What was done? What was the topic? How does this support your strategy? What was the desired outcome of this activity? Please be as descriptive/detailed as possible." dataDxfId="351" totalsRowDxfId="350"/>
    <tableColumn id="3" xr3:uid="{4454020B-7349-499B-8704-4E29413C2DA7}" name="# of hours" totalsRowFunction="custom" dataDxfId="349" totalsRowDxfId="348">
      <totalsRowFormula>SUM(Table132678717['# of hours])</totalsRowFormula>
    </tableColumn>
    <tableColumn id="9" xr3:uid="{F4BACA10-10FD-4866-B4B3-BD6806D8A16A}" name="# of people reached" totalsRowFunction="custom" dataDxfId="347" totalsRowDxfId="346">
      <totalsRowFormula>SUM(Table132678717['# of people reached])</totalsRowFormula>
    </tableColumn>
    <tableColumn id="10" xr3:uid="{701ECFBD-16B1-4B60-8E44-FE34B92B74C5}" name="# of participants" totalsRowFunction="custom" dataDxfId="345" totalsRowDxfId="344">
      <totalsRowFormula>SUM(Table132678717['# of participants])</totalsRowFormula>
    </tableColumn>
    <tableColumn id="11" xr3:uid="{B6685607-32E7-44AE-ACC5-C5782466C772}" name="# of items handed out" totalsRowFunction="sum" dataDxfId="343" totalsRowDxfId="342"/>
    <tableColumn id="12" xr3:uid="{A3CD93D2-8277-4838-BE21-B029938E6C92}" name="Reimbursement Amount Requested" totalsRowFunction="sum" dataDxfId="341" totalsRowDxfId="340" dataCellStyle="Currency"/>
  </tableColumns>
  <tableStyleInfo showFirstColumn="0" showLastColumn="0" showRowStripes="1" showColumnStripes="0"/>
</table>
</file>

<file path=xl/tables/table2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7" xr:uid="{91CB7681-D97A-4BEF-A912-54167A2FB6ED}" name="Table1326789718" displayName="Table1326789718" ref="A59:G62" totalsRowCount="1" headerRowDxfId="339" dataDxfId="338" tableBorderDxfId="337" totalsRowBorderDxfId="336">
  <autoFilter ref="A59:G61" xr:uid="{91CB7681-D97A-4BEF-A912-54167A2FB6ED}"/>
  <tableColumns count="7">
    <tableColumn id="1" xr3:uid="{2AF25EA6-BA59-47BB-A107-29D062F31905}" name="Activities completed (select from the dropdown list)" totalsRowDxfId="335"/>
    <tableColumn id="7" xr3:uid="{CDB8AE13-CAF1-4BD2-9DEC-423F5091C627}" name="Describe the activity. What was done? What was the topic? How does this support your strategy? What was the desired outcome of this activity? Please be as descriptive/detailed as possible." dataDxfId="334" totalsRowDxfId="333"/>
    <tableColumn id="3" xr3:uid="{304910D4-6378-49E9-A5EF-08DAF860E1CB}" name="# of hours" totalsRowFunction="custom" dataDxfId="332" totalsRowDxfId="331">
      <totalsRowFormula>SUM(Table1326789718['# of hours])</totalsRowFormula>
    </tableColumn>
    <tableColumn id="9" xr3:uid="{4B881610-9174-4A21-B6C9-A24027105673}" name="# of people reached" totalsRowFunction="custom" dataDxfId="330" totalsRowDxfId="329">
      <totalsRowFormula>SUM(Table1326789718['# of people reached])</totalsRowFormula>
    </tableColumn>
    <tableColumn id="10" xr3:uid="{9617F8B6-4B74-4DF2-B033-550171CB4A2D}" name="# of participants" totalsRowFunction="custom" dataDxfId="328" totalsRowDxfId="327">
      <totalsRowFormula>SUM(Table1326789718['# of participants])</totalsRowFormula>
    </tableColumn>
    <tableColumn id="11" xr3:uid="{0F998709-858A-4179-96F7-F39E86A0BB22}" name="# of items handed out" totalsRowFunction="sum" dataDxfId="326" totalsRowDxfId="325"/>
    <tableColumn id="12" xr3:uid="{5CE935ED-9BFF-4EAD-921F-6AE280936895}" name="Reimbursement Amount Requested" totalsRowFunction="sum" dataDxfId="324" totalsRowDxfId="323" dataCellStyle="Currency"/>
  </tableColumns>
  <tableStyleInfo showFirstColumn="0" showLastColumn="0" showRowStripes="1" showColumnStripes="0"/>
</table>
</file>

<file path=xl/tables/table2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8" xr:uid="{C0380733-D518-4CF4-8D51-274D5D3FD6FC}" name="Table13267810719" displayName="Table13267810719" ref="A68:G74" totalsRowCount="1" headerRowDxfId="322" dataDxfId="321" tableBorderDxfId="320" totalsRowBorderDxfId="319">
  <autoFilter ref="A68:G73" xr:uid="{C0380733-D518-4CF4-8D51-274D5D3FD6FC}"/>
  <tableColumns count="7">
    <tableColumn id="1" xr3:uid="{10DB165E-B59E-466C-AF68-44B98D9C8A8B}" name="Activities completed (select from the dropdown list)" totalsRowDxfId="318"/>
    <tableColumn id="7" xr3:uid="{13DCB7FC-1349-4CF7-BF50-A033157FCF80}" name="Describe the activity. What was done? What was the topic? How does this support your strategy? What was the desired outcome of this activity? Please be as descriptive/detailed as possible." dataDxfId="317" totalsRowDxfId="316"/>
    <tableColumn id="3" xr3:uid="{E8385006-D503-4372-B4AF-2E45D16738E5}" name="# of hours" totalsRowFunction="custom" dataDxfId="315" totalsRowDxfId="314">
      <totalsRowFormula>SUM(Table13267810719['# of hours])</totalsRowFormula>
    </tableColumn>
    <tableColumn id="9" xr3:uid="{FD60DAE1-CCAF-4622-A4C8-4764BF9CBD5E}" name="# of people reached" totalsRowFunction="custom" dataDxfId="313" totalsRowDxfId="312">
      <totalsRowFormula>SUM(Table13267810719['# of people reached])</totalsRowFormula>
    </tableColumn>
    <tableColumn id="10" xr3:uid="{96885813-DC29-4A52-A46D-4EFEB7A42E6A}" name="# of participants" totalsRowFunction="custom" dataDxfId="311" totalsRowDxfId="310">
      <totalsRowFormula>SUM(Table13267810719['# of participants])</totalsRowFormula>
    </tableColumn>
    <tableColumn id="11" xr3:uid="{877117F8-E8F4-4549-900F-8A871FCA40E2}" name="# of items handed out" totalsRowFunction="sum" dataDxfId="309" totalsRowDxfId="308"/>
    <tableColumn id="12" xr3:uid="{C756C8EC-BB21-4246-9E3C-54B5DA8680B6}" name="Reimbursement Amount Requested" totalsRowFunction="sum" dataDxfId="307" totalsRowDxfId="306" dataCellStyle="Currency" totalsRowCellStyle="Currency"/>
  </tableColumns>
  <tableStyleInfo showFirstColumn="0" showLastColumn="0" showRowStripes="1" showColumnStripes="0"/>
</table>
</file>

<file path=xl/tables/table2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9" xr:uid="{26C4CF4B-5CCA-4F09-B3A8-E4DF104714C6}" name="Table1326781011720" displayName="Table1326781011720" ref="A80:G86" totalsRowCount="1" headerRowDxfId="305" dataDxfId="304" tableBorderDxfId="303" totalsRowBorderDxfId="302">
  <autoFilter ref="A80:G85" xr:uid="{26C4CF4B-5CCA-4F09-B3A8-E4DF104714C6}"/>
  <tableColumns count="7">
    <tableColumn id="1" xr3:uid="{5A21EAE8-125A-4425-9843-F42403A79987}" name="Activities completed (select from the dropdown list)" totalsRowDxfId="301"/>
    <tableColumn id="7" xr3:uid="{91387706-6DEE-4702-B2FD-25F0733357AD}" name="Describe the activity. What was done? What was the topic? How does this support your strategy? What was the desired outcome of this activity? Please be as descriptive/detailed as possible." dataDxfId="300" totalsRowDxfId="299"/>
    <tableColumn id="3" xr3:uid="{2BA90436-C068-484F-A850-237984AC2DB5}" name="# of hours" totalsRowFunction="custom" dataDxfId="298" totalsRowDxfId="297">
      <totalsRowFormula>SUM(Table1326781011720['# of hours])</totalsRowFormula>
    </tableColumn>
    <tableColumn id="9" xr3:uid="{A9E01892-1020-41BE-8E5E-B751D667752C}" name="# of people reached" totalsRowFunction="custom" dataDxfId="296" totalsRowDxfId="295">
      <totalsRowFormula>SUM(Table1326781011720['# of people reached])</totalsRowFormula>
    </tableColumn>
    <tableColumn id="10" xr3:uid="{DAEF4998-1249-4769-B036-65BA113B1A6B}" name="# of participants" totalsRowFunction="custom" dataDxfId="294" totalsRowDxfId="293">
      <totalsRowFormula>SUM(Table1326781011720['# of participants])</totalsRowFormula>
    </tableColumn>
    <tableColumn id="11" xr3:uid="{D3C7A6CF-AEE7-450D-BA1D-6D177CB82552}" name="# of items handed out" totalsRowFunction="sum" dataDxfId="292" totalsRowDxfId="291"/>
    <tableColumn id="12" xr3:uid="{9E7B8035-6EFA-489C-91A3-1367BD02E58C}" name="Reimbursement Amount Requested" totalsRowFunction="sum" dataDxfId="290" totalsRowDxfId="289" dataCellStyle="Currency" totalsRowCellStyle="Currency"/>
  </tableColumns>
  <tableStyleInfo showFirstColumn="0" showLastColumn="0" showRowStripes="1" showColumnStripes="0"/>
</table>
</file>

<file path=xl/tables/table2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0" xr:uid="{6D33C784-8772-4D89-B386-795F0776A4F8}" name="Table132678101112721" displayName="Table132678101112721" ref="A92:G98" totalsRowCount="1" headerRowDxfId="288" dataDxfId="287" tableBorderDxfId="286" totalsRowBorderDxfId="285">
  <autoFilter ref="A92:G97" xr:uid="{6D33C784-8772-4D89-B386-795F0776A4F8}"/>
  <tableColumns count="7">
    <tableColumn id="1" xr3:uid="{AAAFFDA1-210D-451B-9504-3D5339D95E8D}" name="Activities completed (select from the dropdown list)" totalsRowDxfId="284"/>
    <tableColumn id="7" xr3:uid="{C34C7CDC-23CB-4079-9B4C-35E040AFB9B7}" name="Describe the activity. What was done? What was the topic? How does this support your strategy? What was the desired outcome of this activity? Please be as descriptive/detailed as possible." dataDxfId="283" totalsRowDxfId="282"/>
    <tableColumn id="3" xr3:uid="{71FC7DA5-3440-4E8B-94EC-EFE10405F601}" name="# of hours" totalsRowFunction="custom" dataDxfId="281" totalsRowDxfId="280">
      <totalsRowFormula>SUM(Table132678101112721['# of hours])</totalsRowFormula>
    </tableColumn>
    <tableColumn id="9" xr3:uid="{9B116CA6-0914-4FDA-9179-09E4752D622F}" name="# of people reached" totalsRowFunction="custom" dataDxfId="279" totalsRowDxfId="278">
      <totalsRowFormula>SUM(Table132678101112721['# of people reached])</totalsRowFormula>
    </tableColumn>
    <tableColumn id="10" xr3:uid="{0DD07F20-7A8E-495E-B006-16C1C273DD9C}" name="# of participants" totalsRowFunction="custom" dataDxfId="277" totalsRowDxfId="276">
      <totalsRowFormula>SUM(Table132678101112721['# of participants])</totalsRowFormula>
    </tableColumn>
    <tableColumn id="11" xr3:uid="{06756FF3-65D0-4E57-9571-833FD15B1B39}" name="# of items handed out" totalsRowFunction="sum" dataDxfId="275" totalsRowDxfId="274"/>
    <tableColumn id="12" xr3:uid="{B6F7D1F9-29E1-48DA-8F00-C0F7C1F591A1}" name="Reimbursement Amount Requested" totalsRowFunction="sum" dataDxfId="273" totalsRowDxfId="272" dataCellStyle="Currency"/>
  </tableColumns>
  <tableStyleInfo showFirstColumn="0" showLastColumn="0" showRowStripes="1" showColumnStripes="0"/>
</table>
</file>

<file path=xl/tables/table2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1" xr:uid="{B4C15178-4C6B-41B2-BEF7-959D83255380}" name="Table132722" displayName="Table132722" ref="A6:G12" totalsRowCount="1" headerRowDxfId="271" dataDxfId="270" tableBorderDxfId="269" totalsRowBorderDxfId="268">
  <autoFilter ref="A6:G11" xr:uid="{B4C15178-4C6B-41B2-BEF7-959D83255380}"/>
  <tableColumns count="7">
    <tableColumn id="1" xr3:uid="{7A62779C-AAD6-40F6-AFA6-14B3637A87E0}" name="Activities completed (select from the dropdown list)" totalsRowDxfId="267"/>
    <tableColumn id="7" xr3:uid="{66AC67AF-7820-47DD-85D4-1FA4339636CB}" name="Describe the activity. What was done? What was the topic? How does this support your strategy? What was the desired outcome of this activity? Please be as descriptive/detailed as possible." dataDxfId="266" totalsRowDxfId="265"/>
    <tableColumn id="3" xr3:uid="{2B59DE9E-60EE-49FD-9ECC-13822A07DD5E}" name="# of hours" totalsRowFunction="custom" dataDxfId="264" totalsRowDxfId="263">
      <totalsRowFormula>SUM(Table132722['# of hours])</totalsRowFormula>
    </tableColumn>
    <tableColumn id="9" xr3:uid="{DF26A886-68CF-483A-BD64-1F82354F0110}" name="# of people reached" totalsRowFunction="custom" dataDxfId="262" totalsRowDxfId="261">
      <totalsRowFormula>SUM(Table132722['# of people reached])</totalsRowFormula>
    </tableColumn>
    <tableColumn id="10" xr3:uid="{31AA1FC0-085A-4925-8F86-32360949FF6F}" name="# of participants" totalsRowFunction="custom" dataDxfId="260" totalsRowDxfId="259">
      <totalsRowFormula>SUM(Table132722['# of participants])</totalsRowFormula>
    </tableColumn>
    <tableColumn id="11" xr3:uid="{9D538168-0E93-4A0B-B937-FC5B335CE9AB}" name="# of items handed out" totalsRowFunction="sum" dataDxfId="258" totalsRowDxfId="257"/>
    <tableColumn id="12" xr3:uid="{FC8CA354-3BF9-473A-B39F-6242EB915697}" name="Reimbursement Amount Requested" totalsRowFunction="sum" dataDxfId="256" totalsRowDxfId="255" dataCellStyle="Currency"/>
  </tableColumns>
  <tableStyleInfo showFirstColumn="0" showLastColumn="0" showRowStripes="1" showColumnStripes="0"/>
</table>
</file>

<file path=xl/tables/table2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2" xr:uid="{9233942E-CB21-4E46-8044-3BEF9CD078F6}" name="Table1326723" displayName="Table1326723" ref="A18:G29" totalsRowCount="1" headerRowDxfId="254" dataDxfId="253" tableBorderDxfId="252" totalsRowBorderDxfId="251">
  <autoFilter ref="A18:G28" xr:uid="{9233942E-CB21-4E46-8044-3BEF9CD078F6}"/>
  <tableColumns count="7">
    <tableColumn id="1" xr3:uid="{71EA2042-73B4-41CB-89D7-85830AC8ED79}" name="Activities completed (select from the dropdown list)" totalsRowDxfId="250"/>
    <tableColumn id="7" xr3:uid="{338C329E-E72C-406C-965A-9EE38DD6ECD6}" name="Describe the activity. What was done? What was the topic? How does this support your strategy? What was the desired outcome of this activity? Please be as descriptive/detailed as possible." dataDxfId="249" totalsRowDxfId="248"/>
    <tableColumn id="3" xr3:uid="{752D2C48-1E52-41C6-A275-4DE5AB28B4EB}" name="# of hours" totalsRowFunction="custom" dataDxfId="247" totalsRowDxfId="246">
      <totalsRowFormula>SUM(Table1326723['# of hours])</totalsRowFormula>
    </tableColumn>
    <tableColumn id="9" xr3:uid="{B784438B-9AC7-4352-8482-003F2ACD7DC6}" name="# of people reached" totalsRowFunction="custom" dataDxfId="245" totalsRowDxfId="244">
      <totalsRowFormula>SUM(Table1326723['# of people reached])</totalsRowFormula>
    </tableColumn>
    <tableColumn id="10" xr3:uid="{CA3DD7BA-96D3-4490-86F2-62C7DD834450}" name="# of participants" totalsRowFunction="custom" dataDxfId="243" totalsRowDxfId="242">
      <totalsRowFormula>SUM(Table1326723['# of participants])</totalsRowFormula>
    </tableColumn>
    <tableColumn id="11" xr3:uid="{419F5D27-5C98-447E-81C7-9594B0E0D142}" name="# of items handed out" totalsRowFunction="sum" dataDxfId="241" totalsRowDxfId="240"/>
    <tableColumn id="12" xr3:uid="{1EB75FCC-C930-4FE0-9A38-35DA4F88CAF7}" name="Reimbursement Amount Requested" totalsRowFunction="sum" dataDxfId="239" totalsRowDxfId="238" dataCellStyle="Currency" totalsRowCellStyle="Currency"/>
  </tableColumns>
  <tableStyleInfo showFirstColumn="0" showLastColumn="0" showRowStripes="1" showColumnStripes="0"/>
</table>
</file>

<file path=xl/tables/table2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3" xr:uid="{1D632F17-6792-426E-821D-0A26BF559303}" name="Table13267724" displayName="Table13267724" ref="A35:G41" totalsRowCount="1" headerRowDxfId="237" dataDxfId="236" tableBorderDxfId="235" totalsRowBorderDxfId="234">
  <autoFilter ref="A35:G40" xr:uid="{1D632F17-6792-426E-821D-0A26BF559303}"/>
  <tableColumns count="7">
    <tableColumn id="1" xr3:uid="{0497998A-12A6-4C04-A9FB-00DEDB3BA75C}" name="Activities completed (select from the dropdown list)" totalsRowDxfId="233"/>
    <tableColumn id="7" xr3:uid="{0A4E4CBE-8D05-4086-A99B-4E05E5BC0A8A}" name="Describe the activity. What was done? What was the topic? How does this support your strategy? What was the desired outcome of this activity? Please be as descriptive/detailed as possible." dataDxfId="232" totalsRowDxfId="231"/>
    <tableColumn id="3" xr3:uid="{12592874-824D-4CEA-97C6-6E630FA6CEC2}" name="# of hours" totalsRowFunction="custom" dataDxfId="230" totalsRowDxfId="229">
      <totalsRowFormula>SUM(Table13267724['# of hours])</totalsRowFormula>
    </tableColumn>
    <tableColumn id="9" xr3:uid="{343DFA44-380A-4AAB-9E10-EB8AE81EF2E3}" name="# of people reached" totalsRowFunction="custom" dataDxfId="228" totalsRowDxfId="227">
      <totalsRowFormula>SUM(Table13267724['# of people reached])</totalsRowFormula>
    </tableColumn>
    <tableColumn id="10" xr3:uid="{9A288476-78E2-414C-9992-3060AEC364D3}" name="# of participants" totalsRowFunction="custom" dataDxfId="226" totalsRowDxfId="225">
      <totalsRowFormula>SUM(Table13267724['# of participants])</totalsRowFormula>
    </tableColumn>
    <tableColumn id="11" xr3:uid="{C8548F44-282A-429D-A945-840FD20DA6E5}" name="# of items handed out" totalsRowFunction="sum" dataDxfId="224" totalsRowDxfId="223"/>
    <tableColumn id="12" xr3:uid="{4DE3D911-9F51-4BCD-81E0-2AFFE20DF3AD}" name="Reimbursement Amount Requested" totalsRowFunction="sum" dataDxfId="222" totalsRowDxfId="221" dataCellStyle="Currency" totalsRowCellStyle="Currency"/>
  </tableColumns>
  <tableStyleInfo showFirstColumn="0" showLastColumn="0" showRowStripes="1" showColumnStripes="0"/>
</table>
</file>

<file path=xl/tables/table2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4" xr:uid="{689E449E-1271-47F8-B0AE-B8DDBC2480C5}" name="Table132678725" displayName="Table132678725" ref="A47:G53" totalsRowCount="1" headerRowDxfId="220" dataDxfId="219" tableBorderDxfId="218" totalsRowBorderDxfId="217">
  <autoFilter ref="A47:G52" xr:uid="{689E449E-1271-47F8-B0AE-B8DDBC2480C5}"/>
  <tableColumns count="7">
    <tableColumn id="1" xr3:uid="{C8E0E102-9A03-44FB-B411-150443C56995}" name="Activities completed (select from the dropdown list)" totalsRowDxfId="216"/>
    <tableColumn id="7" xr3:uid="{35EDE9F4-1F33-46C1-A6A5-38CC178186F3}" name="Describe the activity. What was done? What was the topic? How does this support your strategy? What was the desired outcome of this activity? Please be as descriptive/detailed as possible." dataDxfId="215" totalsRowDxfId="214"/>
    <tableColumn id="3" xr3:uid="{F7F56F84-B7D3-42DD-9F54-B0982A188D97}" name="# of hours" totalsRowFunction="custom" dataDxfId="213" totalsRowDxfId="212">
      <totalsRowFormula>SUM(Table132678725['# of hours])</totalsRowFormula>
    </tableColumn>
    <tableColumn id="9" xr3:uid="{9857B999-451A-40FB-8E7D-18E95C2E7783}" name="# of people reached" totalsRowFunction="custom" dataDxfId="211" totalsRowDxfId="210">
      <totalsRowFormula>SUM(Table132678725['# of people reached])</totalsRowFormula>
    </tableColumn>
    <tableColumn id="10" xr3:uid="{D857DC73-A96E-4DD8-8DE1-EC31779D3DB2}" name="# of participants" totalsRowFunction="custom" dataDxfId="209" totalsRowDxfId="208">
      <totalsRowFormula>SUM(Table132678725['# of participants])</totalsRowFormula>
    </tableColumn>
    <tableColumn id="11" xr3:uid="{C5CEB7D7-3D36-40B0-B9FE-581569916A46}" name="# of items handed out" totalsRowFunction="sum" dataDxfId="207" totalsRowDxfId="206"/>
    <tableColumn id="12" xr3:uid="{DD92C0CE-8B14-409D-AE34-3EE89F32CE08}" name="Reimbursement Amount Requested" totalsRowFunction="sum" dataDxfId="205" totalsRowDxfId="204" dataCellStyle="Currency"/>
  </tableColumns>
  <tableStyleInfo showFirstColumn="0" showLastColumn="0" showRowStripes="1" showColumnStripes="0"/>
</table>
</file>

<file path=xl/tables/table2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5" xr:uid="{2157C882-7477-43CC-A126-DCF530E31ED5}" name="Table1326789726" displayName="Table1326789726" ref="A59:G62" totalsRowCount="1" headerRowDxfId="203" dataDxfId="202" tableBorderDxfId="201" totalsRowBorderDxfId="200">
  <autoFilter ref="A59:G61" xr:uid="{2157C882-7477-43CC-A126-DCF530E31ED5}"/>
  <tableColumns count="7">
    <tableColumn id="1" xr3:uid="{41A27E6D-8B34-46B2-ADE9-182BD102AA01}" name="Activities completed (select from the dropdown list)" totalsRowDxfId="199"/>
    <tableColumn id="7" xr3:uid="{4A7B7AA1-14ED-4A94-A2B0-FE4FB47240DB}" name="Describe the activity. What was done? What was the topic? How does this support your strategy? What was the desired outcome of this activity? Please be as descriptive/detailed as possible." dataDxfId="198" totalsRowDxfId="197"/>
    <tableColumn id="3" xr3:uid="{1EC55968-44FC-4552-867F-BE031915B9F8}" name="# of hours" totalsRowFunction="custom" dataDxfId="196" totalsRowDxfId="195">
      <totalsRowFormula>SUM(Table1326789726['# of hours])</totalsRowFormula>
    </tableColumn>
    <tableColumn id="9" xr3:uid="{6C388C35-0E24-4732-8733-D2E913B89EAF}" name="# of people reached" totalsRowFunction="custom" dataDxfId="194" totalsRowDxfId="193">
      <totalsRowFormula>SUM(Table1326789726['# of people reached])</totalsRowFormula>
    </tableColumn>
    <tableColumn id="10" xr3:uid="{A295506A-C215-4EF7-8915-E2CB810E1F32}" name="# of participants" totalsRowFunction="custom" dataDxfId="192" totalsRowDxfId="191">
      <totalsRowFormula>SUM(Table1326789726['# of participants])</totalsRowFormula>
    </tableColumn>
    <tableColumn id="11" xr3:uid="{F0A0F55A-09D8-4C20-8833-55CE221EBCF9}" name="# of items handed out" totalsRowFunction="sum" dataDxfId="190" totalsRowDxfId="189"/>
    <tableColumn id="12" xr3:uid="{BC52CC83-F388-43B4-8800-B87AC0D1BBC9}" name="Reimbursement Amount Requested" totalsRowFunction="sum" dataDxfId="188" totalsRowDxfId="187" dataCellStyle="Currency"/>
  </tableColumns>
  <tableStyleInfo showFirstColumn="0" showLastColumn="0" showRowStripes="1" showColumnStripes="0"/>
</table>
</file>

<file path=xl/tables/table2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6" xr:uid="{66EF6264-653F-4BD7-BFD0-D445019CA2E9}" name="Table13267810727" displayName="Table13267810727" ref="A68:G74" totalsRowCount="1" headerRowDxfId="186" dataDxfId="185" tableBorderDxfId="184" totalsRowBorderDxfId="183">
  <autoFilter ref="A68:G73" xr:uid="{66EF6264-653F-4BD7-BFD0-D445019CA2E9}"/>
  <tableColumns count="7">
    <tableColumn id="1" xr3:uid="{600E8B9A-8F53-4258-8E4E-032E0EACD45C}" name="Activities completed (select from the dropdown list)" totalsRowDxfId="182"/>
    <tableColumn id="7" xr3:uid="{4E70645B-5120-4B39-AE8A-E307516ECE44}" name="Describe the activity. What was done? What was the topic? How does this support your strategy? What was the desired outcome of this activity? Please be as descriptive/detailed as possible." dataDxfId="181" totalsRowDxfId="180"/>
    <tableColumn id="3" xr3:uid="{2BE135B5-F107-4500-B776-D1921C5EF7E8}" name="# of hours" totalsRowFunction="custom" dataDxfId="179" totalsRowDxfId="178">
      <totalsRowFormula>SUM(Table13267810727['# of hours])</totalsRowFormula>
    </tableColumn>
    <tableColumn id="9" xr3:uid="{D1979451-AA79-44F9-8C87-F33565BC59D2}" name="# of people reached" totalsRowFunction="custom" dataDxfId="177" totalsRowDxfId="176">
      <totalsRowFormula>SUM(Table13267810727['# of people reached])</totalsRowFormula>
    </tableColumn>
    <tableColumn id="10" xr3:uid="{7C5EBB64-D26A-440A-941E-F9DEC405CEB2}" name="# of participants" totalsRowFunction="custom" dataDxfId="175" totalsRowDxfId="174">
      <totalsRowFormula>SUM(Table13267810727['# of participants])</totalsRowFormula>
    </tableColumn>
    <tableColumn id="11" xr3:uid="{BA62AC9B-9D18-4B0F-ABBE-C2EF3C0B552B}" name="# of items handed out" totalsRowFunction="sum" dataDxfId="173" totalsRowDxfId="172"/>
    <tableColumn id="12" xr3:uid="{D55DF12B-CAFB-42B9-B954-36B02FE4C70D}" name="Reimbursement Amount Requested" totalsRowFunction="sum" dataDxfId="171" totalsRowDxfId="170" dataCellStyle="Currency" totalsRowCellStyle="Currency"/>
  </tableColumns>
  <tableStyleInfo showFirstColumn="0" showLastColumn="0" showRowStripes="1" showColumnStripes="0"/>
</table>
</file>

<file path=xl/tables/table2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7" xr:uid="{8A48682D-A062-491B-8648-72E25C8D0D57}" name="Table1326781011728" displayName="Table1326781011728" ref="A80:G86" totalsRowCount="1" headerRowDxfId="169" dataDxfId="168" tableBorderDxfId="167" totalsRowBorderDxfId="166">
  <autoFilter ref="A80:G85" xr:uid="{8A48682D-A062-491B-8648-72E25C8D0D57}"/>
  <tableColumns count="7">
    <tableColumn id="1" xr3:uid="{6609EBF6-B8EE-4139-8481-33D278BBB05D}" name="Activities completed (select from the dropdown list)" totalsRowDxfId="165"/>
    <tableColumn id="7" xr3:uid="{9756EE3D-7868-4C0A-8274-033A1C8B8AC7}" name="Describe the activity. What was done? What was the topic? How does this support your strategy? What was the desired outcome of this activity? Please be as descriptive/detailed as possible." dataDxfId="164" totalsRowDxfId="163"/>
    <tableColumn id="3" xr3:uid="{E66AAF93-6CA2-4D5F-AE34-B1733230C77F}" name="# of hours" totalsRowFunction="custom" dataDxfId="162" totalsRowDxfId="161">
      <totalsRowFormula>SUM(Table1326781011728['# of hours])</totalsRowFormula>
    </tableColumn>
    <tableColumn id="9" xr3:uid="{5B8732EE-59EA-4C5A-8212-AF880725D290}" name="# of people reached" totalsRowFunction="custom" dataDxfId="160" totalsRowDxfId="159">
      <totalsRowFormula>SUM(Table1326781011728['# of people reached])</totalsRowFormula>
    </tableColumn>
    <tableColumn id="10" xr3:uid="{AC90EC02-E7F1-49A0-9145-730BE05581FB}" name="# of participants" totalsRowFunction="custom" dataDxfId="158" totalsRowDxfId="157">
      <totalsRowFormula>SUM(Table1326781011728['# of participants])</totalsRowFormula>
    </tableColumn>
    <tableColumn id="11" xr3:uid="{7C037B0D-9764-4521-B4D2-665786C8D10A}" name="# of items handed out" totalsRowFunction="sum" dataDxfId="156" totalsRowDxfId="155"/>
    <tableColumn id="12" xr3:uid="{B348C697-0E99-4184-BA39-A7797FA4F22C}" name="Reimbursement Amount Requested" totalsRowFunction="sum" dataDxfId="154" totalsRowDxfId="153" dataCellStyle="Currency" totalsRowCellStyle="Currency"/>
  </tableColumns>
  <tableStyleInfo showFirstColumn="0" showLastColumn="0" showRowStripes="1" showColumnStripes="0"/>
</table>
</file>

<file path=xl/tables/table2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8" xr:uid="{AEE42D90-5771-40F6-93E5-F359C439F71F}" name="Table132678101112729" displayName="Table132678101112729" ref="A92:G98" totalsRowCount="1" headerRowDxfId="152" dataDxfId="151" tableBorderDxfId="150" totalsRowBorderDxfId="149">
  <autoFilter ref="A92:G97" xr:uid="{AEE42D90-5771-40F6-93E5-F359C439F71F}"/>
  <tableColumns count="7">
    <tableColumn id="1" xr3:uid="{9BEB89AE-7954-4066-92FA-C4A869CBC8F3}" name="Activities completed (select from the dropdown list)" totalsRowDxfId="148"/>
    <tableColumn id="7" xr3:uid="{8862C30A-0790-48FE-94EB-55E2472B6514}" name="Describe the activity. What was done? What was the topic? How does this support your strategy? What was the desired outcome of this activity? Please be as descriptive/detailed as possible." dataDxfId="147" totalsRowDxfId="146"/>
    <tableColumn id="3" xr3:uid="{1E60C050-89B2-435C-99F7-61B02B23617C}" name="# of hours" totalsRowFunction="custom" dataDxfId="145" totalsRowDxfId="144">
      <totalsRowFormula>SUM(Table132678101112729['# of hours])</totalsRowFormula>
    </tableColumn>
    <tableColumn id="9" xr3:uid="{E7DC0E99-A111-499E-BA03-14041409896F}" name="# of people reached" totalsRowFunction="custom" dataDxfId="143" totalsRowDxfId="142">
      <totalsRowFormula>SUM(Table132678101112729['# of people reached])</totalsRowFormula>
    </tableColumn>
    <tableColumn id="10" xr3:uid="{D9717DF1-4171-46A3-BBDC-33699836CFE9}" name="# of participants" totalsRowFunction="custom" dataDxfId="141" totalsRowDxfId="140">
      <totalsRowFormula>SUM(Table132678101112729['# of participants])</totalsRowFormula>
    </tableColumn>
    <tableColumn id="11" xr3:uid="{B8166D3D-B370-4247-A189-9AF0876AC2FA}" name="# of items handed out" totalsRowFunction="sum" dataDxfId="139" totalsRowDxfId="138"/>
    <tableColumn id="12" xr3:uid="{3A968F33-2E11-40A2-BA45-9194CA2EDCB4}" name="Reimbursement Amount Requested" totalsRowFunction="sum" dataDxfId="137" totalsRowDxfId="136" dataCellStyle="Currency"/>
  </tableColumns>
  <tableStyleInfo showFirstColumn="0" showLastColumn="0" showRowStripes="1" showColumnStripes="0"/>
</table>
</file>

<file path=xl/tables/table2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9" xr:uid="{BDFF112A-BF83-4DCE-B4A1-3F4B66D52DEB}" name="Table132730" displayName="Table132730" ref="A6:G12" totalsRowCount="1" headerRowDxfId="135" dataDxfId="134" tableBorderDxfId="133" totalsRowBorderDxfId="132">
  <autoFilter ref="A6:G11" xr:uid="{BDFF112A-BF83-4DCE-B4A1-3F4B66D52DEB}"/>
  <tableColumns count="7">
    <tableColumn id="1" xr3:uid="{2C4322FC-19E9-4230-8F6A-7140E5835475}" name="Activities completed (select from the dropdown list)" totalsRowDxfId="131"/>
    <tableColumn id="7" xr3:uid="{F3ABEECF-0068-4415-9F68-EF302A999DAE}" name="Describe the activity. What was done? What was the topic? How does this support your strategy? What was the desired outcome of this activity? Please be as descriptive/detailed as possible." dataDxfId="130" totalsRowDxfId="129"/>
    <tableColumn id="3" xr3:uid="{3BE63F3A-701D-456F-A805-3D66737974F6}" name="# of hours" totalsRowFunction="custom" dataDxfId="128" totalsRowDxfId="127">
      <totalsRowFormula>SUM(Table132730['# of hours])</totalsRowFormula>
    </tableColumn>
    <tableColumn id="9" xr3:uid="{DB7B0322-D4E6-4A04-A92A-3BF2D586BC82}" name="# of people reached" totalsRowFunction="custom" dataDxfId="126" totalsRowDxfId="125">
      <totalsRowFormula>SUM(Table132730['# of people reached])</totalsRowFormula>
    </tableColumn>
    <tableColumn id="10" xr3:uid="{2ECA104D-C734-48F1-BC0C-C5BE1AE6E035}" name="# of participants" totalsRowFunction="custom" dataDxfId="124" totalsRowDxfId="123">
      <totalsRowFormula>SUM(Table132730['# of participants])</totalsRowFormula>
    </tableColumn>
    <tableColumn id="11" xr3:uid="{AAF1B432-4C43-4B0B-BD53-CB4ECA02953C}" name="# of items handed out" totalsRowFunction="sum" dataDxfId="122" totalsRowDxfId="121"/>
    <tableColumn id="12" xr3:uid="{4BD7A193-9E52-4768-A39E-7BB5FCA5D0EE}" name="Reimbursement Amount Requested" totalsRowFunction="sum" dataDxfId="120" totalsRowDxfId="119" dataCellStyle="Currency"/>
  </tableColumns>
  <tableStyleInfo showFirstColumn="0" showLastColumn="0" showRowStripes="1" showColumnStripes="0"/>
</table>
</file>

<file path=xl/tables/table2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0" xr:uid="{8FB18A63-413B-467C-8A7F-8951952D78DA}" name="Table1326731" displayName="Table1326731" ref="A18:G29" totalsRowCount="1" headerRowDxfId="118" dataDxfId="117" tableBorderDxfId="116" totalsRowBorderDxfId="115">
  <autoFilter ref="A18:G28" xr:uid="{8FB18A63-413B-467C-8A7F-8951952D78DA}"/>
  <tableColumns count="7">
    <tableColumn id="1" xr3:uid="{02D6EF53-7E95-463F-B4D0-C44F3DEB2641}" name="Activities completed (select from the dropdown list)" totalsRowDxfId="114"/>
    <tableColumn id="7" xr3:uid="{288BD915-D42A-4547-BF11-57CD2183F07E}" name="Describe the activity. What was done? What was the topic? How does this support your strategy? What was the desired outcome of this activity? Please be as descriptive/detailed as possible." dataDxfId="113" totalsRowDxfId="112"/>
    <tableColumn id="3" xr3:uid="{C83F8393-F977-451D-A9F4-3B140FD0918F}" name="# of hours" totalsRowFunction="custom" dataDxfId="111" totalsRowDxfId="110">
      <totalsRowFormula>SUM(Table1326731['# of hours])</totalsRowFormula>
    </tableColumn>
    <tableColumn id="9" xr3:uid="{95BD634B-71C4-486F-99D0-F73D79BF9AC1}" name="# of people reached" totalsRowFunction="custom" dataDxfId="109" totalsRowDxfId="108">
      <totalsRowFormula>SUM(Table1326731['# of people reached])</totalsRowFormula>
    </tableColumn>
    <tableColumn id="10" xr3:uid="{BF0722A0-1E3F-42E8-940A-98A497FCD01B}" name="# of participants" totalsRowFunction="custom" dataDxfId="107" totalsRowDxfId="106">
      <totalsRowFormula>SUM(Table1326731['# of participants])</totalsRowFormula>
    </tableColumn>
    <tableColumn id="11" xr3:uid="{611F9561-7F4F-456C-8139-C46E3E05051C}" name="# of items handed out" totalsRowFunction="sum" dataDxfId="105" totalsRowDxfId="104"/>
    <tableColumn id="12" xr3:uid="{884609F3-B690-439C-B771-9FEAFB4A6CBE}" name="Reimbursement Amount Requested" totalsRowFunction="sum" dataDxfId="103" totalsRowDxfId="102" dataCellStyle="Currency" totalsRowCellStyle="Currency"/>
  </tableColumns>
  <tableStyleInfo showFirstColumn="0" showLastColumn="0" showRowStripes="1" showColumnStripes="0"/>
</table>
</file>

<file path=xl/tables/table2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1" xr:uid="{F7EA4D05-0D77-456D-8F44-5DDC11A0E15E}" name="Table13267732" displayName="Table13267732" ref="A35:G41" totalsRowCount="1" headerRowDxfId="101" dataDxfId="100" tableBorderDxfId="99" totalsRowBorderDxfId="98">
  <autoFilter ref="A35:G40" xr:uid="{F7EA4D05-0D77-456D-8F44-5DDC11A0E15E}"/>
  <tableColumns count="7">
    <tableColumn id="1" xr3:uid="{03BFBAEF-1534-483B-BCD4-D9831049CB69}" name="Activities completed (select from the dropdown list)" totalsRowDxfId="97"/>
    <tableColumn id="7" xr3:uid="{EC338D66-52C9-47AD-BCC6-574D6E7AD2BF}" name="Describe the activity. What was done? What was the topic? How does this support your strategy? What was the desired outcome of this activity? Please be as descriptive/detailed as possible." dataDxfId="96" totalsRowDxfId="95"/>
    <tableColumn id="3" xr3:uid="{795592C6-E910-40D7-9FF4-C34D290F0E6B}" name="# of hours" totalsRowFunction="custom" dataDxfId="94" totalsRowDxfId="93">
      <totalsRowFormula>SUM(Table13267732['# of hours])</totalsRowFormula>
    </tableColumn>
    <tableColumn id="9" xr3:uid="{F2F7C8FE-4DFE-49DE-B71A-8D711FAF71DC}" name="# of people reached" totalsRowFunction="custom" dataDxfId="92" totalsRowDxfId="91">
      <totalsRowFormula>SUM(Table13267732['# of people reached])</totalsRowFormula>
    </tableColumn>
    <tableColumn id="10" xr3:uid="{25946345-372A-4BD3-9FC9-2DB8559D9433}" name="# of participants" totalsRowFunction="custom" dataDxfId="90" totalsRowDxfId="89">
      <totalsRowFormula>SUM(Table13267732['# of participants])</totalsRowFormula>
    </tableColumn>
    <tableColumn id="11" xr3:uid="{278C26C4-4110-4E87-A85B-EFA097003887}" name="# of items handed out" totalsRowFunction="sum" dataDxfId="88" totalsRowDxfId="87"/>
    <tableColumn id="12" xr3:uid="{990F5410-D2E0-42C5-89FE-E2C14010FFB5}" name="Reimbursement Amount Requested" totalsRowFunction="sum" dataDxfId="86" totalsRowDxfId="85" dataCellStyle="Currency" totalsRowCellStyle="Currency"/>
  </tableColumns>
  <tableStyleInfo showFirstColumn="0" showLastColumn="0" showRowStripes="1" showColumnStripes="0"/>
</table>
</file>

<file path=xl/tables/table2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2" xr:uid="{985947FA-F471-4D08-B678-638E85BA0BF7}" name="Table132678733" displayName="Table132678733" ref="A47:G53" totalsRowCount="1" headerRowDxfId="84" dataDxfId="83" tableBorderDxfId="82" totalsRowBorderDxfId="81">
  <autoFilter ref="A47:G52" xr:uid="{985947FA-F471-4D08-B678-638E85BA0BF7}"/>
  <tableColumns count="7">
    <tableColumn id="1" xr3:uid="{7F0F6AA4-A293-4B4E-A68D-358283D86BD6}" name="Activities completed (select from the dropdown list)" totalsRowDxfId="80"/>
    <tableColumn id="7" xr3:uid="{3ED5E275-BF12-4D31-8B13-9FCEE0C31F57}" name="Describe the activity. What was done? What was the topic? How does this support your strategy? What was the desired outcome of this activity? Please be as descriptive/detailed as possible." dataDxfId="79" totalsRowDxfId="78"/>
    <tableColumn id="3" xr3:uid="{017AD37D-1A37-469F-8482-DADEBDB407A6}" name="# of hours" totalsRowFunction="custom" dataDxfId="77" totalsRowDxfId="76">
      <totalsRowFormula>SUM(Table132678733['# of hours])</totalsRowFormula>
    </tableColumn>
    <tableColumn id="9" xr3:uid="{D18E6C60-EFBD-4035-83E7-F301E803A050}" name="# of people reached" totalsRowFunction="custom" dataDxfId="75" totalsRowDxfId="74">
      <totalsRowFormula>SUM(Table132678733['# of people reached])</totalsRowFormula>
    </tableColumn>
    <tableColumn id="10" xr3:uid="{FD6EFB23-FF85-4289-8471-342E536C9508}" name="# of participants" totalsRowFunction="custom" dataDxfId="73" totalsRowDxfId="72">
      <totalsRowFormula>SUM(Table132678733['# of participants])</totalsRowFormula>
    </tableColumn>
    <tableColumn id="11" xr3:uid="{9C41FBEC-3C28-4A9A-845A-FAD2C55E84CF}" name="# of items handed out" totalsRowFunction="sum" dataDxfId="71" totalsRowDxfId="70"/>
    <tableColumn id="12" xr3:uid="{50C03E2B-D9CA-41B4-A53B-1DF59BC42165}" name="Reimbursement Amount Requested" totalsRowFunction="sum" dataDxfId="69" totalsRowDxfId="68" dataCellStyle="Currency"/>
  </tableColumns>
  <tableStyleInfo showFirstColumn="0" showLastColumn="0" showRowStripes="1" showColumnStripes="0"/>
</table>
</file>

<file path=xl/tables/table2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3" xr:uid="{531DA227-6C83-4E1C-A575-A6A7789042E0}" name="Table1326789734" displayName="Table1326789734" ref="A59:G62" totalsRowCount="1" headerRowDxfId="67" dataDxfId="66" tableBorderDxfId="65" totalsRowBorderDxfId="64">
  <autoFilter ref="A59:G61" xr:uid="{531DA227-6C83-4E1C-A575-A6A7789042E0}"/>
  <tableColumns count="7">
    <tableColumn id="1" xr3:uid="{456D9815-7B31-4B49-8FAB-6AB3EE101D2A}" name="Activities completed (select from the dropdown list)" totalsRowDxfId="63"/>
    <tableColumn id="7" xr3:uid="{9B3E0305-7DF6-4E0E-8B8A-84084A2FAFB3}" name="Describe the activity. What was done? What was the topic? How does this support your strategy? What was the desired outcome of this activity? Please be as descriptive/detailed as possible." dataDxfId="62" totalsRowDxfId="61"/>
    <tableColumn id="3" xr3:uid="{FC67E405-8AD6-4803-B652-8D4347C75421}" name="# of hours" totalsRowFunction="custom" dataDxfId="60" totalsRowDxfId="59">
      <totalsRowFormula>SUM(Table1326789734['# of hours])</totalsRowFormula>
    </tableColumn>
    <tableColumn id="9" xr3:uid="{80A538A0-7F7C-466C-876E-EAA65E6024E7}" name="# of people reached" totalsRowFunction="custom" dataDxfId="58" totalsRowDxfId="57">
      <totalsRowFormula>SUM(Table1326789734['# of people reached])</totalsRowFormula>
    </tableColumn>
    <tableColumn id="10" xr3:uid="{89C926C8-AFEB-43C6-9DC6-F7D99A512227}" name="# of participants" totalsRowFunction="custom" dataDxfId="56" totalsRowDxfId="55">
      <totalsRowFormula>SUM(Table1326789734['# of participants])</totalsRowFormula>
    </tableColumn>
    <tableColumn id="11" xr3:uid="{19F0F6B1-7856-495E-B850-74A15E7E879B}" name="# of items handed out" totalsRowFunction="sum" dataDxfId="54" totalsRowDxfId="53"/>
    <tableColumn id="12" xr3:uid="{BAB7DD2D-7495-44DE-AAF2-56C2D4A0637B}" name="Reimbursement Amount Requested" totalsRowFunction="sum" dataDxfId="52" totalsRowDxfId="51" dataCellStyle="Currency"/>
  </tableColumns>
  <tableStyleInfo showFirstColumn="0" showLastColumn="0" showRowStripes="1" showColumnStripes="0"/>
</table>
</file>

<file path=xl/tables/table2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4" xr:uid="{928BD75D-9DC0-4B6D-8EFF-A2D0574C91E3}" name="Table13267810735" displayName="Table13267810735" ref="A68:G74" totalsRowCount="1" headerRowDxfId="50" dataDxfId="49" tableBorderDxfId="48" totalsRowBorderDxfId="47">
  <autoFilter ref="A68:G73" xr:uid="{928BD75D-9DC0-4B6D-8EFF-A2D0574C91E3}"/>
  <tableColumns count="7">
    <tableColumn id="1" xr3:uid="{881293AC-CE55-4B03-B10E-C2EFC93AB671}" name="Activities completed (select from the dropdown list)" totalsRowDxfId="46"/>
    <tableColumn id="7" xr3:uid="{2B3D1E41-0423-4DFE-95E5-167B7F00DF6A}" name="Describe the activity. What was done? What was the topic? How does this support your strategy? What was the desired outcome of this activity? Please be as descriptive/detailed as possible." dataDxfId="45" totalsRowDxfId="44"/>
    <tableColumn id="3" xr3:uid="{4CC90994-A8B3-4647-A9DC-58B8F4AEF98D}" name="# of hours" totalsRowFunction="custom" dataDxfId="43" totalsRowDxfId="42">
      <totalsRowFormula>SUM(Table13267810735['# of hours])</totalsRowFormula>
    </tableColumn>
    <tableColumn id="9" xr3:uid="{24E86B1E-40F7-4587-8AC4-FE67392988A2}" name="# of people reached" totalsRowFunction="custom" dataDxfId="41" totalsRowDxfId="40">
      <totalsRowFormula>SUM(Table13267810735['# of people reached])</totalsRowFormula>
    </tableColumn>
    <tableColumn id="10" xr3:uid="{C82F1BC5-839D-4D31-BCD2-9BA509F48679}" name="# of participants" totalsRowFunction="custom" dataDxfId="39" totalsRowDxfId="38">
      <totalsRowFormula>SUM(Table13267810735['# of participants])</totalsRowFormula>
    </tableColumn>
    <tableColumn id="11" xr3:uid="{6CD77EC8-23DF-4E0C-B5AE-FB756E48E513}" name="# of items handed out" totalsRowFunction="sum" dataDxfId="37" totalsRowDxfId="36"/>
    <tableColumn id="12" xr3:uid="{AEF03946-0B96-4DA8-ACDE-851F5605110D}" name="Reimbursement Amount Requested" totalsRowFunction="sum" dataDxfId="35" totalsRowDxfId="34" dataCellStyle="Currency" totalsRowCellStyle="Currency"/>
  </tableColumns>
  <tableStyleInfo showFirstColumn="0" showLastColumn="0" showRowStripes="1" showColumnStripes="0"/>
</table>
</file>

<file path=xl/tables/table2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5" xr:uid="{94339E90-C92F-45DE-B3CD-ED564E7E4A5D}" name="Table1326781011736" displayName="Table1326781011736" ref="A80:G86" totalsRowCount="1" headerRowDxfId="33" dataDxfId="32" tableBorderDxfId="31" totalsRowBorderDxfId="30">
  <autoFilter ref="A80:G85" xr:uid="{94339E90-C92F-45DE-B3CD-ED564E7E4A5D}"/>
  <tableColumns count="7">
    <tableColumn id="1" xr3:uid="{999760BC-A30D-4C07-B01E-EAE731D9227C}" name="Activities completed (select from the dropdown list)" totalsRowDxfId="29"/>
    <tableColumn id="7" xr3:uid="{C18D6090-1FFB-4017-A25F-28A2C1C94568}" name="Describe the activity. What was done? What was the topic? How does this support your strategy? What was the desired outcome of this activity? Please be as descriptive/detailed as possible." dataDxfId="28" totalsRowDxfId="27"/>
    <tableColumn id="3" xr3:uid="{CFDDF933-BCAE-498B-8381-F3856166D54D}" name="# of hours" totalsRowFunction="custom" dataDxfId="26" totalsRowDxfId="25">
      <totalsRowFormula>SUM(Table1326781011736['# of hours])</totalsRowFormula>
    </tableColumn>
    <tableColumn id="9" xr3:uid="{ECD56805-BAF0-4D98-9F83-40C77CF76366}" name="# of people reached" totalsRowFunction="custom" dataDxfId="24" totalsRowDxfId="23">
      <totalsRowFormula>SUM(Table1326781011736['# of people reached])</totalsRowFormula>
    </tableColumn>
    <tableColumn id="10" xr3:uid="{FBEA524A-AF8A-455C-B334-A036A0155C5C}" name="# of participants" totalsRowFunction="custom" dataDxfId="22" totalsRowDxfId="21">
      <totalsRowFormula>SUM(Table1326781011736['# of participants])</totalsRowFormula>
    </tableColumn>
    <tableColumn id="11" xr3:uid="{D994CD7F-C9B4-4C8C-89B4-02A7579C5313}" name="# of items handed out" totalsRowFunction="sum" dataDxfId="20" totalsRowDxfId="19"/>
    <tableColumn id="12" xr3:uid="{4C511CCB-ED60-4EC1-8766-161C4A26706F}" name="Reimbursement Amount Requested" totalsRowFunction="sum" dataDxfId="18" totalsRowDxfId="17" dataCellStyle="Currency" totalsRowCellStyle="Currency"/>
  </tableColumns>
  <tableStyleInfo showFirstColumn="0" showLastColumn="0" showRowStripes="1" showColumnStripes="0"/>
</table>
</file>

<file path=xl/tables/table2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6" xr:uid="{2E10DA56-A0B3-4B48-B5D5-7ECB134C05FB}" name="Table132678101112737" displayName="Table132678101112737" ref="A92:G98" totalsRowCount="1" headerRowDxfId="16" dataDxfId="15" tableBorderDxfId="14" totalsRowBorderDxfId="13">
  <autoFilter ref="A92:G97" xr:uid="{2E10DA56-A0B3-4B48-B5D5-7ECB134C05FB}"/>
  <tableColumns count="7">
    <tableColumn id="1" xr3:uid="{81839AD2-E3EE-4A00-836F-4BEA19DF9D8A}" name="Activities completed (select from the dropdown list)" totalsRowDxfId="12"/>
    <tableColumn id="7" xr3:uid="{E4807F0B-A3A9-459B-83CA-8C78D48F8111}" name="Describe the activity. What was done? What was the topic? How does this support your strategy? What was the desired outcome of this activity? Please be as descriptive/detailed as possible." dataDxfId="11" totalsRowDxfId="10"/>
    <tableColumn id="3" xr3:uid="{A2D15E61-48B8-4DCD-8DA1-E807F0F77195}" name="# of hours" totalsRowFunction="custom" dataDxfId="9" totalsRowDxfId="8">
      <totalsRowFormula>SUM(Table132678101112737['# of hours])</totalsRowFormula>
    </tableColumn>
    <tableColumn id="9" xr3:uid="{FCDF7C23-7E6F-4B3B-BE7F-5C226F9C4DA0}" name="# of people reached" totalsRowFunction="custom" dataDxfId="7" totalsRowDxfId="6">
      <totalsRowFormula>SUM(Table132678101112737['# of people reached])</totalsRowFormula>
    </tableColumn>
    <tableColumn id="10" xr3:uid="{F1ACDEE2-546B-4F5F-B29D-DB4D3D3BB2C9}" name="# of participants" totalsRowFunction="custom" dataDxfId="5" totalsRowDxfId="4">
      <totalsRowFormula>SUM(Table132678101112737['# of participants])</totalsRowFormula>
    </tableColumn>
    <tableColumn id="11" xr3:uid="{A456228C-03E7-42CA-BFAD-7D219A282793}" name="# of items handed out" totalsRowFunction="sum" dataDxfId="3" totalsRowDxfId="2"/>
    <tableColumn id="12" xr3:uid="{F380063D-32F8-4B0B-B965-6B5EBD9A14A0}" name="Reimbursement Amount Requested" totalsRowFunction="sum" dataDxfId="1" totalsRowDxfId="0" dataCellStyle="Currenc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openxmlformats.org/officeDocument/2006/relationships/table" Target="../tables/table1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3.xml"/><Relationship Id="rId3" Type="http://schemas.openxmlformats.org/officeDocument/2006/relationships/table" Target="../tables/table18.xml"/><Relationship Id="rId7" Type="http://schemas.openxmlformats.org/officeDocument/2006/relationships/table" Target="../tables/table22.xml"/><Relationship Id="rId2" Type="http://schemas.openxmlformats.org/officeDocument/2006/relationships/table" Target="../tables/table17.xml"/><Relationship Id="rId1" Type="http://schemas.openxmlformats.org/officeDocument/2006/relationships/printerSettings" Target="../printerSettings/printerSettings5.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 Id="rId9" Type="http://schemas.openxmlformats.org/officeDocument/2006/relationships/table" Target="../tables/table2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1.xml"/><Relationship Id="rId3" Type="http://schemas.openxmlformats.org/officeDocument/2006/relationships/table" Target="../tables/table26.xml"/><Relationship Id="rId7" Type="http://schemas.openxmlformats.org/officeDocument/2006/relationships/table" Target="../tables/table30.xml"/><Relationship Id="rId2" Type="http://schemas.openxmlformats.org/officeDocument/2006/relationships/table" Target="../tables/table25.xml"/><Relationship Id="rId1" Type="http://schemas.openxmlformats.org/officeDocument/2006/relationships/printerSettings" Target="../printerSettings/printerSettings6.bin"/><Relationship Id="rId6" Type="http://schemas.openxmlformats.org/officeDocument/2006/relationships/table" Target="../tables/table29.xml"/><Relationship Id="rId5" Type="http://schemas.openxmlformats.org/officeDocument/2006/relationships/table" Target="../tables/table28.xml"/><Relationship Id="rId4" Type="http://schemas.openxmlformats.org/officeDocument/2006/relationships/table" Target="../tables/table27.xml"/><Relationship Id="rId9" Type="http://schemas.openxmlformats.org/officeDocument/2006/relationships/table" Target="../tables/table32.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9.xml"/><Relationship Id="rId3" Type="http://schemas.openxmlformats.org/officeDocument/2006/relationships/table" Target="../tables/table34.xml"/><Relationship Id="rId7" Type="http://schemas.openxmlformats.org/officeDocument/2006/relationships/table" Target="../tables/table38.xml"/><Relationship Id="rId2" Type="http://schemas.openxmlformats.org/officeDocument/2006/relationships/table" Target="../tables/table33.xml"/><Relationship Id="rId1" Type="http://schemas.openxmlformats.org/officeDocument/2006/relationships/printerSettings" Target="../printerSettings/printerSettings7.bin"/><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 Id="rId9" Type="http://schemas.openxmlformats.org/officeDocument/2006/relationships/table" Target="../tables/table40.xml"/></Relationships>
</file>

<file path=xl/worksheets/_rels/sheet8.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table" Target="../tables/table41.xml"/><Relationship Id="rId1" Type="http://schemas.openxmlformats.org/officeDocument/2006/relationships/printerSettings" Target="../printerSettings/printerSettings8.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 Id="rId9" Type="http://schemas.openxmlformats.org/officeDocument/2006/relationships/table" Target="../tables/table48.xml"/></Relationships>
</file>

<file path=xl/worksheets/_rels/sheet9.xml.rels><?xml version="1.0" encoding="UTF-8" standalone="yes"?>
<Relationships xmlns="http://schemas.openxmlformats.org/package/2006/relationships"><Relationship Id="rId8" Type="http://schemas.openxmlformats.org/officeDocument/2006/relationships/table" Target="../tables/table55.xml"/><Relationship Id="rId3" Type="http://schemas.openxmlformats.org/officeDocument/2006/relationships/table" Target="../tables/table50.xml"/><Relationship Id="rId7" Type="http://schemas.openxmlformats.org/officeDocument/2006/relationships/table" Target="../tables/table54.xml"/><Relationship Id="rId2" Type="http://schemas.openxmlformats.org/officeDocument/2006/relationships/table" Target="../tables/table49.xml"/><Relationship Id="rId1" Type="http://schemas.openxmlformats.org/officeDocument/2006/relationships/printerSettings" Target="../printerSettings/printerSettings9.bin"/><Relationship Id="rId6" Type="http://schemas.openxmlformats.org/officeDocument/2006/relationships/table" Target="../tables/table53.xml"/><Relationship Id="rId5" Type="http://schemas.openxmlformats.org/officeDocument/2006/relationships/table" Target="../tables/table52.xml"/><Relationship Id="rId4" Type="http://schemas.openxmlformats.org/officeDocument/2006/relationships/table" Target="../tables/table51.xml"/><Relationship Id="rId9" Type="http://schemas.openxmlformats.org/officeDocument/2006/relationships/table" Target="../tables/table56.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63.xml"/><Relationship Id="rId3" Type="http://schemas.openxmlformats.org/officeDocument/2006/relationships/table" Target="../tables/table58.xml"/><Relationship Id="rId7" Type="http://schemas.openxmlformats.org/officeDocument/2006/relationships/table" Target="../tables/table62.xml"/><Relationship Id="rId2" Type="http://schemas.openxmlformats.org/officeDocument/2006/relationships/table" Target="../tables/table57.xml"/><Relationship Id="rId1" Type="http://schemas.openxmlformats.org/officeDocument/2006/relationships/printerSettings" Target="../printerSettings/printerSettings10.bin"/><Relationship Id="rId6" Type="http://schemas.openxmlformats.org/officeDocument/2006/relationships/table" Target="../tables/table61.xml"/><Relationship Id="rId5" Type="http://schemas.openxmlformats.org/officeDocument/2006/relationships/table" Target="../tables/table60.xml"/><Relationship Id="rId4" Type="http://schemas.openxmlformats.org/officeDocument/2006/relationships/table" Target="../tables/table59.xml"/><Relationship Id="rId9" Type="http://schemas.openxmlformats.org/officeDocument/2006/relationships/table" Target="../tables/table64.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71.xml"/><Relationship Id="rId3" Type="http://schemas.openxmlformats.org/officeDocument/2006/relationships/table" Target="../tables/table66.xml"/><Relationship Id="rId7" Type="http://schemas.openxmlformats.org/officeDocument/2006/relationships/table" Target="../tables/table70.xml"/><Relationship Id="rId2" Type="http://schemas.openxmlformats.org/officeDocument/2006/relationships/table" Target="../tables/table65.xml"/><Relationship Id="rId1" Type="http://schemas.openxmlformats.org/officeDocument/2006/relationships/printerSettings" Target="../printerSettings/printerSettings11.bin"/><Relationship Id="rId6" Type="http://schemas.openxmlformats.org/officeDocument/2006/relationships/table" Target="../tables/table69.xml"/><Relationship Id="rId5" Type="http://schemas.openxmlformats.org/officeDocument/2006/relationships/table" Target="../tables/table68.xml"/><Relationship Id="rId4" Type="http://schemas.openxmlformats.org/officeDocument/2006/relationships/table" Target="../tables/table67.xml"/><Relationship Id="rId9" Type="http://schemas.openxmlformats.org/officeDocument/2006/relationships/table" Target="../tables/table72.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79.xml"/><Relationship Id="rId3" Type="http://schemas.openxmlformats.org/officeDocument/2006/relationships/table" Target="../tables/table74.xml"/><Relationship Id="rId7" Type="http://schemas.openxmlformats.org/officeDocument/2006/relationships/table" Target="../tables/table78.xml"/><Relationship Id="rId2" Type="http://schemas.openxmlformats.org/officeDocument/2006/relationships/table" Target="../tables/table73.xml"/><Relationship Id="rId1" Type="http://schemas.openxmlformats.org/officeDocument/2006/relationships/printerSettings" Target="../printerSettings/printerSettings12.bin"/><Relationship Id="rId6" Type="http://schemas.openxmlformats.org/officeDocument/2006/relationships/table" Target="../tables/table77.xml"/><Relationship Id="rId5" Type="http://schemas.openxmlformats.org/officeDocument/2006/relationships/table" Target="../tables/table76.xml"/><Relationship Id="rId4" Type="http://schemas.openxmlformats.org/officeDocument/2006/relationships/table" Target="../tables/table75.xml"/><Relationship Id="rId9" Type="http://schemas.openxmlformats.org/officeDocument/2006/relationships/table" Target="../tables/table80.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87.xml"/><Relationship Id="rId3" Type="http://schemas.openxmlformats.org/officeDocument/2006/relationships/table" Target="../tables/table82.xml"/><Relationship Id="rId7" Type="http://schemas.openxmlformats.org/officeDocument/2006/relationships/table" Target="../tables/table86.xml"/><Relationship Id="rId2" Type="http://schemas.openxmlformats.org/officeDocument/2006/relationships/table" Target="../tables/table81.xml"/><Relationship Id="rId1" Type="http://schemas.openxmlformats.org/officeDocument/2006/relationships/printerSettings" Target="../printerSettings/printerSettings13.bin"/><Relationship Id="rId6" Type="http://schemas.openxmlformats.org/officeDocument/2006/relationships/table" Target="../tables/table85.xml"/><Relationship Id="rId5" Type="http://schemas.openxmlformats.org/officeDocument/2006/relationships/table" Target="../tables/table84.xml"/><Relationship Id="rId4" Type="http://schemas.openxmlformats.org/officeDocument/2006/relationships/table" Target="../tables/table83.xml"/><Relationship Id="rId9" Type="http://schemas.openxmlformats.org/officeDocument/2006/relationships/table" Target="../tables/table88.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95.xml"/><Relationship Id="rId3" Type="http://schemas.openxmlformats.org/officeDocument/2006/relationships/table" Target="../tables/table90.xml"/><Relationship Id="rId7" Type="http://schemas.openxmlformats.org/officeDocument/2006/relationships/table" Target="../tables/table94.xml"/><Relationship Id="rId2" Type="http://schemas.openxmlformats.org/officeDocument/2006/relationships/table" Target="../tables/table89.xml"/><Relationship Id="rId1" Type="http://schemas.openxmlformats.org/officeDocument/2006/relationships/printerSettings" Target="../printerSettings/printerSettings14.bin"/><Relationship Id="rId6" Type="http://schemas.openxmlformats.org/officeDocument/2006/relationships/table" Target="../tables/table93.xml"/><Relationship Id="rId5" Type="http://schemas.openxmlformats.org/officeDocument/2006/relationships/table" Target="../tables/table92.xml"/><Relationship Id="rId4" Type="http://schemas.openxmlformats.org/officeDocument/2006/relationships/table" Target="../tables/table91.xml"/><Relationship Id="rId9" Type="http://schemas.openxmlformats.org/officeDocument/2006/relationships/table" Target="../tables/table9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103.xml"/><Relationship Id="rId3" Type="http://schemas.openxmlformats.org/officeDocument/2006/relationships/table" Target="../tables/table98.xml"/><Relationship Id="rId7" Type="http://schemas.openxmlformats.org/officeDocument/2006/relationships/table" Target="../tables/table102.xml"/><Relationship Id="rId2" Type="http://schemas.openxmlformats.org/officeDocument/2006/relationships/table" Target="../tables/table97.xml"/><Relationship Id="rId1" Type="http://schemas.openxmlformats.org/officeDocument/2006/relationships/printerSettings" Target="../printerSettings/printerSettings16.bin"/><Relationship Id="rId6" Type="http://schemas.openxmlformats.org/officeDocument/2006/relationships/table" Target="../tables/table101.xml"/><Relationship Id="rId5" Type="http://schemas.openxmlformats.org/officeDocument/2006/relationships/table" Target="../tables/table100.xml"/><Relationship Id="rId4" Type="http://schemas.openxmlformats.org/officeDocument/2006/relationships/table" Target="../tables/table99.xml"/><Relationship Id="rId9" Type="http://schemas.openxmlformats.org/officeDocument/2006/relationships/table" Target="../tables/table104.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111.xml"/><Relationship Id="rId3" Type="http://schemas.openxmlformats.org/officeDocument/2006/relationships/table" Target="../tables/table106.xml"/><Relationship Id="rId7" Type="http://schemas.openxmlformats.org/officeDocument/2006/relationships/table" Target="../tables/table110.xml"/><Relationship Id="rId2" Type="http://schemas.openxmlformats.org/officeDocument/2006/relationships/table" Target="../tables/table105.xml"/><Relationship Id="rId1" Type="http://schemas.openxmlformats.org/officeDocument/2006/relationships/printerSettings" Target="../printerSettings/printerSettings17.bin"/><Relationship Id="rId6" Type="http://schemas.openxmlformats.org/officeDocument/2006/relationships/table" Target="../tables/table109.xml"/><Relationship Id="rId5" Type="http://schemas.openxmlformats.org/officeDocument/2006/relationships/table" Target="../tables/table108.xml"/><Relationship Id="rId4" Type="http://schemas.openxmlformats.org/officeDocument/2006/relationships/table" Target="../tables/table107.xml"/><Relationship Id="rId9" Type="http://schemas.openxmlformats.org/officeDocument/2006/relationships/table" Target="../tables/table112.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19.xml"/><Relationship Id="rId3" Type="http://schemas.openxmlformats.org/officeDocument/2006/relationships/table" Target="../tables/table114.xml"/><Relationship Id="rId7" Type="http://schemas.openxmlformats.org/officeDocument/2006/relationships/table" Target="../tables/table118.xml"/><Relationship Id="rId2" Type="http://schemas.openxmlformats.org/officeDocument/2006/relationships/table" Target="../tables/table113.xml"/><Relationship Id="rId1" Type="http://schemas.openxmlformats.org/officeDocument/2006/relationships/printerSettings" Target="../printerSettings/printerSettings18.bin"/><Relationship Id="rId6" Type="http://schemas.openxmlformats.org/officeDocument/2006/relationships/table" Target="../tables/table117.xml"/><Relationship Id="rId5" Type="http://schemas.openxmlformats.org/officeDocument/2006/relationships/table" Target="../tables/table116.xml"/><Relationship Id="rId4" Type="http://schemas.openxmlformats.org/officeDocument/2006/relationships/table" Target="../tables/table115.xml"/><Relationship Id="rId9" Type="http://schemas.openxmlformats.org/officeDocument/2006/relationships/table" Target="../tables/table120.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127.xml"/><Relationship Id="rId3" Type="http://schemas.openxmlformats.org/officeDocument/2006/relationships/table" Target="../tables/table122.xml"/><Relationship Id="rId7" Type="http://schemas.openxmlformats.org/officeDocument/2006/relationships/table" Target="../tables/table126.xml"/><Relationship Id="rId2" Type="http://schemas.openxmlformats.org/officeDocument/2006/relationships/table" Target="../tables/table121.xml"/><Relationship Id="rId1" Type="http://schemas.openxmlformats.org/officeDocument/2006/relationships/printerSettings" Target="../printerSettings/printerSettings19.bin"/><Relationship Id="rId6" Type="http://schemas.openxmlformats.org/officeDocument/2006/relationships/table" Target="../tables/table125.xml"/><Relationship Id="rId5" Type="http://schemas.openxmlformats.org/officeDocument/2006/relationships/table" Target="../tables/table124.xml"/><Relationship Id="rId4" Type="http://schemas.openxmlformats.org/officeDocument/2006/relationships/table" Target="../tables/table123.xml"/><Relationship Id="rId9" Type="http://schemas.openxmlformats.org/officeDocument/2006/relationships/table" Target="../tables/table128.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135.xml"/><Relationship Id="rId3" Type="http://schemas.openxmlformats.org/officeDocument/2006/relationships/table" Target="../tables/table130.xml"/><Relationship Id="rId7" Type="http://schemas.openxmlformats.org/officeDocument/2006/relationships/table" Target="../tables/table134.xml"/><Relationship Id="rId2" Type="http://schemas.openxmlformats.org/officeDocument/2006/relationships/table" Target="../tables/table129.xml"/><Relationship Id="rId1" Type="http://schemas.openxmlformats.org/officeDocument/2006/relationships/printerSettings" Target="../printerSettings/printerSettings20.bin"/><Relationship Id="rId6" Type="http://schemas.openxmlformats.org/officeDocument/2006/relationships/table" Target="../tables/table133.xml"/><Relationship Id="rId5" Type="http://schemas.openxmlformats.org/officeDocument/2006/relationships/table" Target="../tables/table132.xml"/><Relationship Id="rId4" Type="http://schemas.openxmlformats.org/officeDocument/2006/relationships/table" Target="../tables/table131.xml"/><Relationship Id="rId9" Type="http://schemas.openxmlformats.org/officeDocument/2006/relationships/table" Target="../tables/table136.xml"/></Relationships>
</file>

<file path=xl/worksheets/_rels/sheet21.xml.rels><?xml version="1.0" encoding="UTF-8" standalone="yes"?>
<Relationships xmlns="http://schemas.openxmlformats.org/package/2006/relationships"><Relationship Id="rId8" Type="http://schemas.openxmlformats.org/officeDocument/2006/relationships/table" Target="../tables/table143.xml"/><Relationship Id="rId3" Type="http://schemas.openxmlformats.org/officeDocument/2006/relationships/table" Target="../tables/table138.xml"/><Relationship Id="rId7" Type="http://schemas.openxmlformats.org/officeDocument/2006/relationships/table" Target="../tables/table142.xml"/><Relationship Id="rId2" Type="http://schemas.openxmlformats.org/officeDocument/2006/relationships/table" Target="../tables/table137.xml"/><Relationship Id="rId1" Type="http://schemas.openxmlformats.org/officeDocument/2006/relationships/printerSettings" Target="../printerSettings/printerSettings21.bin"/><Relationship Id="rId6" Type="http://schemas.openxmlformats.org/officeDocument/2006/relationships/table" Target="../tables/table141.xml"/><Relationship Id="rId5" Type="http://schemas.openxmlformats.org/officeDocument/2006/relationships/table" Target="../tables/table140.xml"/><Relationship Id="rId4" Type="http://schemas.openxmlformats.org/officeDocument/2006/relationships/table" Target="../tables/table139.xml"/><Relationship Id="rId9" Type="http://schemas.openxmlformats.org/officeDocument/2006/relationships/table" Target="../tables/table144.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151.xml"/><Relationship Id="rId3" Type="http://schemas.openxmlformats.org/officeDocument/2006/relationships/table" Target="../tables/table146.xml"/><Relationship Id="rId7" Type="http://schemas.openxmlformats.org/officeDocument/2006/relationships/table" Target="../tables/table150.xml"/><Relationship Id="rId2" Type="http://schemas.openxmlformats.org/officeDocument/2006/relationships/table" Target="../tables/table145.xml"/><Relationship Id="rId1" Type="http://schemas.openxmlformats.org/officeDocument/2006/relationships/printerSettings" Target="../printerSettings/printerSettings22.bin"/><Relationship Id="rId6" Type="http://schemas.openxmlformats.org/officeDocument/2006/relationships/table" Target="../tables/table149.xml"/><Relationship Id="rId5" Type="http://schemas.openxmlformats.org/officeDocument/2006/relationships/table" Target="../tables/table148.xml"/><Relationship Id="rId4" Type="http://schemas.openxmlformats.org/officeDocument/2006/relationships/table" Target="../tables/table147.xml"/><Relationship Id="rId9" Type="http://schemas.openxmlformats.org/officeDocument/2006/relationships/table" Target="../tables/table152.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159.xml"/><Relationship Id="rId3" Type="http://schemas.openxmlformats.org/officeDocument/2006/relationships/table" Target="../tables/table154.xml"/><Relationship Id="rId7" Type="http://schemas.openxmlformats.org/officeDocument/2006/relationships/table" Target="../tables/table158.xml"/><Relationship Id="rId2" Type="http://schemas.openxmlformats.org/officeDocument/2006/relationships/table" Target="../tables/table153.xml"/><Relationship Id="rId1" Type="http://schemas.openxmlformats.org/officeDocument/2006/relationships/printerSettings" Target="../printerSettings/printerSettings23.bin"/><Relationship Id="rId6" Type="http://schemas.openxmlformats.org/officeDocument/2006/relationships/table" Target="../tables/table157.xml"/><Relationship Id="rId5" Type="http://schemas.openxmlformats.org/officeDocument/2006/relationships/table" Target="../tables/table156.xml"/><Relationship Id="rId4" Type="http://schemas.openxmlformats.org/officeDocument/2006/relationships/table" Target="../tables/table155.xml"/><Relationship Id="rId9" Type="http://schemas.openxmlformats.org/officeDocument/2006/relationships/table" Target="../tables/table1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167.xml"/><Relationship Id="rId3" Type="http://schemas.openxmlformats.org/officeDocument/2006/relationships/table" Target="../tables/table162.xml"/><Relationship Id="rId7" Type="http://schemas.openxmlformats.org/officeDocument/2006/relationships/table" Target="../tables/table166.xml"/><Relationship Id="rId2" Type="http://schemas.openxmlformats.org/officeDocument/2006/relationships/table" Target="../tables/table161.xml"/><Relationship Id="rId1" Type="http://schemas.openxmlformats.org/officeDocument/2006/relationships/printerSettings" Target="../printerSettings/printerSettings24.bin"/><Relationship Id="rId6" Type="http://schemas.openxmlformats.org/officeDocument/2006/relationships/table" Target="../tables/table165.xml"/><Relationship Id="rId5" Type="http://schemas.openxmlformats.org/officeDocument/2006/relationships/table" Target="../tables/table164.xml"/><Relationship Id="rId4" Type="http://schemas.openxmlformats.org/officeDocument/2006/relationships/table" Target="../tables/table163.xml"/><Relationship Id="rId9" Type="http://schemas.openxmlformats.org/officeDocument/2006/relationships/table" Target="../tables/table16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175.xml"/><Relationship Id="rId3" Type="http://schemas.openxmlformats.org/officeDocument/2006/relationships/table" Target="../tables/table170.xml"/><Relationship Id="rId7" Type="http://schemas.openxmlformats.org/officeDocument/2006/relationships/table" Target="../tables/table174.xml"/><Relationship Id="rId2" Type="http://schemas.openxmlformats.org/officeDocument/2006/relationships/table" Target="../tables/table169.xml"/><Relationship Id="rId1" Type="http://schemas.openxmlformats.org/officeDocument/2006/relationships/printerSettings" Target="../printerSettings/printerSettings25.bin"/><Relationship Id="rId6" Type="http://schemas.openxmlformats.org/officeDocument/2006/relationships/table" Target="../tables/table173.xml"/><Relationship Id="rId5" Type="http://schemas.openxmlformats.org/officeDocument/2006/relationships/table" Target="../tables/table172.xml"/><Relationship Id="rId4" Type="http://schemas.openxmlformats.org/officeDocument/2006/relationships/table" Target="../tables/table171.xml"/><Relationship Id="rId9" Type="http://schemas.openxmlformats.org/officeDocument/2006/relationships/table" Target="../tables/table176.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183.xml"/><Relationship Id="rId3" Type="http://schemas.openxmlformats.org/officeDocument/2006/relationships/table" Target="../tables/table178.xml"/><Relationship Id="rId7" Type="http://schemas.openxmlformats.org/officeDocument/2006/relationships/table" Target="../tables/table182.xml"/><Relationship Id="rId2" Type="http://schemas.openxmlformats.org/officeDocument/2006/relationships/table" Target="../tables/table177.xml"/><Relationship Id="rId1" Type="http://schemas.openxmlformats.org/officeDocument/2006/relationships/printerSettings" Target="../printerSettings/printerSettings26.bin"/><Relationship Id="rId6" Type="http://schemas.openxmlformats.org/officeDocument/2006/relationships/table" Target="../tables/table181.xml"/><Relationship Id="rId5" Type="http://schemas.openxmlformats.org/officeDocument/2006/relationships/table" Target="../tables/table180.xml"/><Relationship Id="rId4" Type="http://schemas.openxmlformats.org/officeDocument/2006/relationships/table" Target="../tables/table179.xml"/><Relationship Id="rId9" Type="http://schemas.openxmlformats.org/officeDocument/2006/relationships/table" Target="../tables/table184.xml"/></Relationships>
</file>

<file path=xl/worksheets/_rels/sheet27.xml.rels><?xml version="1.0" encoding="UTF-8" standalone="yes"?>
<Relationships xmlns="http://schemas.openxmlformats.org/package/2006/relationships"><Relationship Id="rId8" Type="http://schemas.openxmlformats.org/officeDocument/2006/relationships/table" Target="../tables/table191.xml"/><Relationship Id="rId3" Type="http://schemas.openxmlformats.org/officeDocument/2006/relationships/table" Target="../tables/table186.xml"/><Relationship Id="rId7" Type="http://schemas.openxmlformats.org/officeDocument/2006/relationships/table" Target="../tables/table190.xml"/><Relationship Id="rId2" Type="http://schemas.openxmlformats.org/officeDocument/2006/relationships/table" Target="../tables/table185.xml"/><Relationship Id="rId1" Type="http://schemas.openxmlformats.org/officeDocument/2006/relationships/printerSettings" Target="../printerSettings/printerSettings27.bin"/><Relationship Id="rId6" Type="http://schemas.openxmlformats.org/officeDocument/2006/relationships/table" Target="../tables/table189.xml"/><Relationship Id="rId5" Type="http://schemas.openxmlformats.org/officeDocument/2006/relationships/table" Target="../tables/table188.xml"/><Relationship Id="rId4" Type="http://schemas.openxmlformats.org/officeDocument/2006/relationships/table" Target="../tables/table187.xml"/><Relationship Id="rId9" Type="http://schemas.openxmlformats.org/officeDocument/2006/relationships/table" Target="../tables/table19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table" Target="../tables/table199.xml"/><Relationship Id="rId3" Type="http://schemas.openxmlformats.org/officeDocument/2006/relationships/table" Target="../tables/table194.xml"/><Relationship Id="rId7" Type="http://schemas.openxmlformats.org/officeDocument/2006/relationships/table" Target="../tables/table198.xml"/><Relationship Id="rId2" Type="http://schemas.openxmlformats.org/officeDocument/2006/relationships/table" Target="../tables/table193.xml"/><Relationship Id="rId1" Type="http://schemas.openxmlformats.org/officeDocument/2006/relationships/printerSettings" Target="../printerSettings/printerSettings29.bin"/><Relationship Id="rId6" Type="http://schemas.openxmlformats.org/officeDocument/2006/relationships/table" Target="../tables/table197.xml"/><Relationship Id="rId5" Type="http://schemas.openxmlformats.org/officeDocument/2006/relationships/table" Target="../tables/table196.xml"/><Relationship Id="rId4" Type="http://schemas.openxmlformats.org/officeDocument/2006/relationships/table" Target="../tables/table195.xml"/><Relationship Id="rId9" Type="http://schemas.openxmlformats.org/officeDocument/2006/relationships/table" Target="../tables/table200.xml"/></Relationships>
</file>

<file path=xl/worksheets/_rels/sheet30.xml.rels><?xml version="1.0" encoding="UTF-8" standalone="yes"?>
<Relationships xmlns="http://schemas.openxmlformats.org/package/2006/relationships"><Relationship Id="rId8" Type="http://schemas.openxmlformats.org/officeDocument/2006/relationships/table" Target="../tables/table207.xml"/><Relationship Id="rId3" Type="http://schemas.openxmlformats.org/officeDocument/2006/relationships/table" Target="../tables/table202.xml"/><Relationship Id="rId7" Type="http://schemas.openxmlformats.org/officeDocument/2006/relationships/table" Target="../tables/table206.xml"/><Relationship Id="rId2" Type="http://schemas.openxmlformats.org/officeDocument/2006/relationships/table" Target="../tables/table201.xml"/><Relationship Id="rId1" Type="http://schemas.openxmlformats.org/officeDocument/2006/relationships/printerSettings" Target="../printerSettings/printerSettings30.bin"/><Relationship Id="rId6" Type="http://schemas.openxmlformats.org/officeDocument/2006/relationships/table" Target="../tables/table205.xml"/><Relationship Id="rId5" Type="http://schemas.openxmlformats.org/officeDocument/2006/relationships/table" Target="../tables/table204.xml"/><Relationship Id="rId4" Type="http://schemas.openxmlformats.org/officeDocument/2006/relationships/table" Target="../tables/table203.xml"/><Relationship Id="rId9" Type="http://schemas.openxmlformats.org/officeDocument/2006/relationships/table" Target="../tables/table208.xml"/></Relationships>
</file>

<file path=xl/worksheets/_rels/sheet31.xml.rels><?xml version="1.0" encoding="UTF-8" standalone="yes"?>
<Relationships xmlns="http://schemas.openxmlformats.org/package/2006/relationships"><Relationship Id="rId8" Type="http://schemas.openxmlformats.org/officeDocument/2006/relationships/table" Target="../tables/table215.xml"/><Relationship Id="rId3" Type="http://schemas.openxmlformats.org/officeDocument/2006/relationships/table" Target="../tables/table210.xml"/><Relationship Id="rId7" Type="http://schemas.openxmlformats.org/officeDocument/2006/relationships/table" Target="../tables/table214.xml"/><Relationship Id="rId2" Type="http://schemas.openxmlformats.org/officeDocument/2006/relationships/table" Target="../tables/table209.xml"/><Relationship Id="rId1" Type="http://schemas.openxmlformats.org/officeDocument/2006/relationships/printerSettings" Target="../printerSettings/printerSettings31.bin"/><Relationship Id="rId6" Type="http://schemas.openxmlformats.org/officeDocument/2006/relationships/table" Target="../tables/table213.xml"/><Relationship Id="rId5" Type="http://schemas.openxmlformats.org/officeDocument/2006/relationships/table" Target="../tables/table212.xml"/><Relationship Id="rId4" Type="http://schemas.openxmlformats.org/officeDocument/2006/relationships/table" Target="../tables/table211.xml"/><Relationship Id="rId9" Type="http://schemas.openxmlformats.org/officeDocument/2006/relationships/table" Target="../tables/table216.xml"/></Relationships>
</file>

<file path=xl/worksheets/_rels/sheet32.xml.rels><?xml version="1.0" encoding="UTF-8" standalone="yes"?>
<Relationships xmlns="http://schemas.openxmlformats.org/package/2006/relationships"><Relationship Id="rId8" Type="http://schemas.openxmlformats.org/officeDocument/2006/relationships/table" Target="../tables/table223.xml"/><Relationship Id="rId3" Type="http://schemas.openxmlformats.org/officeDocument/2006/relationships/table" Target="../tables/table218.xml"/><Relationship Id="rId7" Type="http://schemas.openxmlformats.org/officeDocument/2006/relationships/table" Target="../tables/table222.xml"/><Relationship Id="rId2" Type="http://schemas.openxmlformats.org/officeDocument/2006/relationships/table" Target="../tables/table217.xml"/><Relationship Id="rId1" Type="http://schemas.openxmlformats.org/officeDocument/2006/relationships/printerSettings" Target="../printerSettings/printerSettings32.bin"/><Relationship Id="rId6" Type="http://schemas.openxmlformats.org/officeDocument/2006/relationships/table" Target="../tables/table221.xml"/><Relationship Id="rId5" Type="http://schemas.openxmlformats.org/officeDocument/2006/relationships/table" Target="../tables/table220.xml"/><Relationship Id="rId4" Type="http://schemas.openxmlformats.org/officeDocument/2006/relationships/table" Target="../tables/table219.xml"/><Relationship Id="rId9" Type="http://schemas.openxmlformats.org/officeDocument/2006/relationships/table" Target="../tables/table224.xml"/></Relationships>
</file>

<file path=xl/worksheets/_rels/sheet33.xml.rels><?xml version="1.0" encoding="UTF-8" standalone="yes"?>
<Relationships xmlns="http://schemas.openxmlformats.org/package/2006/relationships"><Relationship Id="rId8" Type="http://schemas.openxmlformats.org/officeDocument/2006/relationships/table" Target="../tables/table231.xml"/><Relationship Id="rId3" Type="http://schemas.openxmlformats.org/officeDocument/2006/relationships/table" Target="../tables/table226.xml"/><Relationship Id="rId7" Type="http://schemas.openxmlformats.org/officeDocument/2006/relationships/table" Target="../tables/table230.xml"/><Relationship Id="rId2" Type="http://schemas.openxmlformats.org/officeDocument/2006/relationships/table" Target="../tables/table225.xml"/><Relationship Id="rId1" Type="http://schemas.openxmlformats.org/officeDocument/2006/relationships/printerSettings" Target="../printerSettings/printerSettings33.bin"/><Relationship Id="rId6" Type="http://schemas.openxmlformats.org/officeDocument/2006/relationships/table" Target="../tables/table229.xml"/><Relationship Id="rId5" Type="http://schemas.openxmlformats.org/officeDocument/2006/relationships/table" Target="../tables/table228.xml"/><Relationship Id="rId4" Type="http://schemas.openxmlformats.org/officeDocument/2006/relationships/table" Target="../tables/table227.xml"/><Relationship Id="rId9" Type="http://schemas.openxmlformats.org/officeDocument/2006/relationships/table" Target="../tables/table232.xml"/></Relationships>
</file>

<file path=xl/worksheets/_rels/sheet34.xml.rels><?xml version="1.0" encoding="UTF-8" standalone="yes"?>
<Relationships xmlns="http://schemas.openxmlformats.org/package/2006/relationships"><Relationship Id="rId8" Type="http://schemas.openxmlformats.org/officeDocument/2006/relationships/table" Target="../tables/table239.xml"/><Relationship Id="rId3" Type="http://schemas.openxmlformats.org/officeDocument/2006/relationships/table" Target="../tables/table234.xml"/><Relationship Id="rId7" Type="http://schemas.openxmlformats.org/officeDocument/2006/relationships/table" Target="../tables/table238.xml"/><Relationship Id="rId2" Type="http://schemas.openxmlformats.org/officeDocument/2006/relationships/table" Target="../tables/table233.xml"/><Relationship Id="rId1" Type="http://schemas.openxmlformats.org/officeDocument/2006/relationships/printerSettings" Target="../printerSettings/printerSettings34.bin"/><Relationship Id="rId6" Type="http://schemas.openxmlformats.org/officeDocument/2006/relationships/table" Target="../tables/table237.xml"/><Relationship Id="rId5" Type="http://schemas.openxmlformats.org/officeDocument/2006/relationships/table" Target="../tables/table236.xml"/><Relationship Id="rId4" Type="http://schemas.openxmlformats.org/officeDocument/2006/relationships/table" Target="../tables/table235.xml"/><Relationship Id="rId9" Type="http://schemas.openxmlformats.org/officeDocument/2006/relationships/table" Target="../tables/table240.xml"/></Relationships>
</file>

<file path=xl/worksheets/_rels/sheet35.xml.rels><?xml version="1.0" encoding="UTF-8" standalone="yes"?>
<Relationships xmlns="http://schemas.openxmlformats.org/package/2006/relationships"><Relationship Id="rId8" Type="http://schemas.openxmlformats.org/officeDocument/2006/relationships/table" Target="../tables/table247.xml"/><Relationship Id="rId3" Type="http://schemas.openxmlformats.org/officeDocument/2006/relationships/table" Target="../tables/table242.xml"/><Relationship Id="rId7" Type="http://schemas.openxmlformats.org/officeDocument/2006/relationships/table" Target="../tables/table246.xml"/><Relationship Id="rId2" Type="http://schemas.openxmlformats.org/officeDocument/2006/relationships/table" Target="../tables/table241.xml"/><Relationship Id="rId1" Type="http://schemas.openxmlformats.org/officeDocument/2006/relationships/printerSettings" Target="../printerSettings/printerSettings35.bin"/><Relationship Id="rId6" Type="http://schemas.openxmlformats.org/officeDocument/2006/relationships/table" Target="../tables/table245.xml"/><Relationship Id="rId5" Type="http://schemas.openxmlformats.org/officeDocument/2006/relationships/table" Target="../tables/table244.xml"/><Relationship Id="rId4" Type="http://schemas.openxmlformats.org/officeDocument/2006/relationships/table" Target="../tables/table243.xml"/><Relationship Id="rId9" Type="http://schemas.openxmlformats.org/officeDocument/2006/relationships/table" Target="../tables/table248.xml"/></Relationships>
</file>

<file path=xl/worksheets/_rels/sheet36.xml.rels><?xml version="1.0" encoding="UTF-8" standalone="yes"?>
<Relationships xmlns="http://schemas.openxmlformats.org/package/2006/relationships"><Relationship Id="rId8" Type="http://schemas.openxmlformats.org/officeDocument/2006/relationships/table" Target="../tables/table255.xml"/><Relationship Id="rId3" Type="http://schemas.openxmlformats.org/officeDocument/2006/relationships/table" Target="../tables/table250.xml"/><Relationship Id="rId7" Type="http://schemas.openxmlformats.org/officeDocument/2006/relationships/table" Target="../tables/table254.xml"/><Relationship Id="rId2" Type="http://schemas.openxmlformats.org/officeDocument/2006/relationships/table" Target="../tables/table249.xml"/><Relationship Id="rId1" Type="http://schemas.openxmlformats.org/officeDocument/2006/relationships/printerSettings" Target="../printerSettings/printerSettings36.bin"/><Relationship Id="rId6" Type="http://schemas.openxmlformats.org/officeDocument/2006/relationships/table" Target="../tables/table253.xml"/><Relationship Id="rId5" Type="http://schemas.openxmlformats.org/officeDocument/2006/relationships/table" Target="../tables/table252.xml"/><Relationship Id="rId4" Type="http://schemas.openxmlformats.org/officeDocument/2006/relationships/table" Target="../tables/table251.xml"/><Relationship Id="rId9" Type="http://schemas.openxmlformats.org/officeDocument/2006/relationships/table" Target="../tables/table256.xml"/></Relationships>
</file>

<file path=xl/worksheets/_rels/sheet37.xml.rels><?xml version="1.0" encoding="UTF-8" standalone="yes"?>
<Relationships xmlns="http://schemas.openxmlformats.org/package/2006/relationships"><Relationship Id="rId8" Type="http://schemas.openxmlformats.org/officeDocument/2006/relationships/table" Target="../tables/table263.xml"/><Relationship Id="rId3" Type="http://schemas.openxmlformats.org/officeDocument/2006/relationships/table" Target="../tables/table258.xml"/><Relationship Id="rId7" Type="http://schemas.openxmlformats.org/officeDocument/2006/relationships/table" Target="../tables/table262.xml"/><Relationship Id="rId2" Type="http://schemas.openxmlformats.org/officeDocument/2006/relationships/table" Target="../tables/table257.xml"/><Relationship Id="rId1" Type="http://schemas.openxmlformats.org/officeDocument/2006/relationships/printerSettings" Target="../printerSettings/printerSettings37.bin"/><Relationship Id="rId6" Type="http://schemas.openxmlformats.org/officeDocument/2006/relationships/table" Target="../tables/table261.xml"/><Relationship Id="rId5" Type="http://schemas.openxmlformats.org/officeDocument/2006/relationships/table" Target="../tables/table260.xml"/><Relationship Id="rId4" Type="http://schemas.openxmlformats.org/officeDocument/2006/relationships/table" Target="../tables/table259.xml"/><Relationship Id="rId9" Type="http://schemas.openxmlformats.org/officeDocument/2006/relationships/table" Target="../tables/table264.xml"/></Relationships>
</file>

<file path=xl/worksheets/_rels/sheet38.xml.rels><?xml version="1.0" encoding="UTF-8" standalone="yes"?>
<Relationships xmlns="http://schemas.openxmlformats.org/package/2006/relationships"><Relationship Id="rId8" Type="http://schemas.openxmlformats.org/officeDocument/2006/relationships/table" Target="../tables/table271.xml"/><Relationship Id="rId3" Type="http://schemas.openxmlformats.org/officeDocument/2006/relationships/table" Target="../tables/table266.xml"/><Relationship Id="rId7" Type="http://schemas.openxmlformats.org/officeDocument/2006/relationships/table" Target="../tables/table270.xml"/><Relationship Id="rId2" Type="http://schemas.openxmlformats.org/officeDocument/2006/relationships/table" Target="../tables/table265.xml"/><Relationship Id="rId1" Type="http://schemas.openxmlformats.org/officeDocument/2006/relationships/printerSettings" Target="../printerSettings/printerSettings38.bin"/><Relationship Id="rId6" Type="http://schemas.openxmlformats.org/officeDocument/2006/relationships/table" Target="../tables/table269.xml"/><Relationship Id="rId5" Type="http://schemas.openxmlformats.org/officeDocument/2006/relationships/table" Target="../tables/table268.xml"/><Relationship Id="rId4" Type="http://schemas.openxmlformats.org/officeDocument/2006/relationships/table" Target="../tables/table267.xml"/><Relationship Id="rId9" Type="http://schemas.openxmlformats.org/officeDocument/2006/relationships/table" Target="../tables/table272.xml"/></Relationships>
</file>

<file path=xl/worksheets/_rels/sheet39.xml.rels><?xml version="1.0" encoding="UTF-8" standalone="yes"?>
<Relationships xmlns="http://schemas.openxmlformats.org/package/2006/relationships"><Relationship Id="rId8" Type="http://schemas.openxmlformats.org/officeDocument/2006/relationships/table" Target="../tables/table279.xml"/><Relationship Id="rId3" Type="http://schemas.openxmlformats.org/officeDocument/2006/relationships/table" Target="../tables/table274.xml"/><Relationship Id="rId7" Type="http://schemas.openxmlformats.org/officeDocument/2006/relationships/table" Target="../tables/table278.xml"/><Relationship Id="rId2" Type="http://schemas.openxmlformats.org/officeDocument/2006/relationships/table" Target="../tables/table273.xml"/><Relationship Id="rId1" Type="http://schemas.openxmlformats.org/officeDocument/2006/relationships/printerSettings" Target="../printerSettings/printerSettings39.bin"/><Relationship Id="rId6" Type="http://schemas.openxmlformats.org/officeDocument/2006/relationships/table" Target="../tables/table277.xml"/><Relationship Id="rId5" Type="http://schemas.openxmlformats.org/officeDocument/2006/relationships/table" Target="../tables/table276.xml"/><Relationship Id="rId4" Type="http://schemas.openxmlformats.org/officeDocument/2006/relationships/table" Target="../tables/table275.xml"/><Relationship Id="rId9" Type="http://schemas.openxmlformats.org/officeDocument/2006/relationships/table" Target="../tables/table280.xml"/></Relationships>
</file>

<file path=xl/worksheets/_rels/sheet40.xml.rels><?xml version="1.0" encoding="UTF-8" standalone="yes"?>
<Relationships xmlns="http://schemas.openxmlformats.org/package/2006/relationships"><Relationship Id="rId8" Type="http://schemas.openxmlformats.org/officeDocument/2006/relationships/table" Target="../tables/table287.xml"/><Relationship Id="rId3" Type="http://schemas.openxmlformats.org/officeDocument/2006/relationships/table" Target="../tables/table282.xml"/><Relationship Id="rId7" Type="http://schemas.openxmlformats.org/officeDocument/2006/relationships/table" Target="../tables/table286.xml"/><Relationship Id="rId2" Type="http://schemas.openxmlformats.org/officeDocument/2006/relationships/table" Target="../tables/table281.xml"/><Relationship Id="rId1" Type="http://schemas.openxmlformats.org/officeDocument/2006/relationships/printerSettings" Target="../printerSettings/printerSettings40.bin"/><Relationship Id="rId6" Type="http://schemas.openxmlformats.org/officeDocument/2006/relationships/table" Target="../tables/table285.xml"/><Relationship Id="rId5" Type="http://schemas.openxmlformats.org/officeDocument/2006/relationships/table" Target="../tables/table284.xml"/><Relationship Id="rId4" Type="http://schemas.openxmlformats.org/officeDocument/2006/relationships/table" Target="../tables/table283.xml"/><Relationship Id="rId9" Type="http://schemas.openxmlformats.org/officeDocument/2006/relationships/table" Target="../tables/table288.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D6F9-9CA0-4144-8B7C-038845842ABC}">
  <sheetPr>
    <tabColor rgb="FF049FDA"/>
  </sheetPr>
  <dimension ref="A1:I127"/>
  <sheetViews>
    <sheetView tabSelected="1" view="pageLayout" zoomScaleNormal="100" workbookViewId="0">
      <selection activeCell="B1" sqref="B1"/>
    </sheetView>
  </sheetViews>
  <sheetFormatPr defaultRowHeight="16.5" x14ac:dyDescent="0.3"/>
  <cols>
    <col min="1" max="1" width="125.5" style="18" customWidth="1"/>
    <col min="2" max="5" width="9" style="18"/>
    <col min="6" max="6" width="9" style="18" customWidth="1"/>
    <col min="7" max="16384" width="9" style="18"/>
  </cols>
  <sheetData>
    <row r="1" spans="1:9" ht="26.25" x14ac:dyDescent="0.45">
      <c r="A1" s="13" t="s">
        <v>81</v>
      </c>
      <c r="B1" s="24"/>
      <c r="C1" s="24"/>
      <c r="D1" s="24"/>
      <c r="E1" s="24"/>
      <c r="F1" s="24"/>
      <c r="G1" s="24"/>
      <c r="H1" s="24"/>
      <c r="I1" s="24"/>
    </row>
    <row r="3" spans="1:9" ht="34.5" x14ac:dyDescent="0.3">
      <c r="A3" s="16" t="s">
        <v>0</v>
      </c>
    </row>
    <row r="4" spans="1:9" x14ac:dyDescent="0.3">
      <c r="A4" s="19" t="s">
        <v>1</v>
      </c>
    </row>
    <row r="5" spans="1:9" x14ac:dyDescent="0.3">
      <c r="A5" s="19" t="s">
        <v>2</v>
      </c>
    </row>
    <row r="6" spans="1:9" x14ac:dyDescent="0.3">
      <c r="A6" s="19" t="s">
        <v>3</v>
      </c>
    </row>
    <row r="7" spans="1:9" x14ac:dyDescent="0.3">
      <c r="A7" s="19" t="s">
        <v>4</v>
      </c>
    </row>
    <row r="8" spans="1:9" x14ac:dyDescent="0.3">
      <c r="A8" s="19" t="s">
        <v>5</v>
      </c>
    </row>
    <row r="9" spans="1:9" x14ac:dyDescent="0.3">
      <c r="A9" s="19" t="s">
        <v>6</v>
      </c>
    </row>
    <row r="10" spans="1:9" x14ac:dyDescent="0.3">
      <c r="A10" s="19" t="s">
        <v>7</v>
      </c>
    </row>
    <row r="11" spans="1:9" x14ac:dyDescent="0.3">
      <c r="A11" s="19" t="s">
        <v>8</v>
      </c>
    </row>
    <row r="12" spans="1:9" x14ac:dyDescent="0.3">
      <c r="A12" s="19" t="s">
        <v>9</v>
      </c>
    </row>
    <row r="13" spans="1:9" x14ac:dyDescent="0.3">
      <c r="A13" s="19" t="s">
        <v>10</v>
      </c>
    </row>
    <row r="14" spans="1:9" x14ac:dyDescent="0.3">
      <c r="A14" s="19" t="s">
        <v>11</v>
      </c>
    </row>
    <row r="15" spans="1:9" x14ac:dyDescent="0.3">
      <c r="A15" s="19" t="s">
        <v>12</v>
      </c>
    </row>
    <row r="16" spans="1:9" x14ac:dyDescent="0.3">
      <c r="A16" s="19" t="s">
        <v>13</v>
      </c>
    </row>
    <row r="17" spans="1:1" x14ac:dyDescent="0.3">
      <c r="A17" s="19" t="s">
        <v>14</v>
      </c>
    </row>
    <row r="18" spans="1:1" x14ac:dyDescent="0.3">
      <c r="A18" s="19" t="s">
        <v>15</v>
      </c>
    </row>
    <row r="19" spans="1:1" x14ac:dyDescent="0.3">
      <c r="A19" s="19" t="s">
        <v>16</v>
      </c>
    </row>
    <row r="20" spans="1:1" x14ac:dyDescent="0.3">
      <c r="A20" s="19" t="s">
        <v>17</v>
      </c>
    </row>
    <row r="21" spans="1:1" x14ac:dyDescent="0.3">
      <c r="A21" s="19" t="s">
        <v>18</v>
      </c>
    </row>
    <row r="22" spans="1:1" x14ac:dyDescent="0.3">
      <c r="A22" s="19" t="s">
        <v>19</v>
      </c>
    </row>
    <row r="23" spans="1:1" x14ac:dyDescent="0.3">
      <c r="A23" s="19" t="s">
        <v>20</v>
      </c>
    </row>
    <row r="24" spans="1:1" x14ac:dyDescent="0.3">
      <c r="A24" s="19" t="s">
        <v>21</v>
      </c>
    </row>
    <row r="25" spans="1:1" x14ac:dyDescent="0.3">
      <c r="A25" s="19" t="s">
        <v>22</v>
      </c>
    </row>
    <row r="26" spans="1:1" x14ac:dyDescent="0.3">
      <c r="A26" s="19" t="s">
        <v>23</v>
      </c>
    </row>
    <row r="27" spans="1:1" x14ac:dyDescent="0.3">
      <c r="A27" s="19" t="s">
        <v>138</v>
      </c>
    </row>
    <row r="28" spans="1:1" x14ac:dyDescent="0.3">
      <c r="A28" s="14"/>
    </row>
    <row r="29" spans="1:1" ht="51.75" x14ac:dyDescent="0.3">
      <c r="A29" s="17" t="s">
        <v>24</v>
      </c>
    </row>
    <row r="30" spans="1:1" x14ac:dyDescent="0.3">
      <c r="A30" s="19" t="s">
        <v>25</v>
      </c>
    </row>
    <row r="31" spans="1:1" x14ac:dyDescent="0.3">
      <c r="A31" s="19" t="s">
        <v>26</v>
      </c>
    </row>
    <row r="32" spans="1:1" x14ac:dyDescent="0.3">
      <c r="A32" s="19" t="s">
        <v>27</v>
      </c>
    </row>
    <row r="33" spans="1:1" x14ac:dyDescent="0.3">
      <c r="A33" s="19" t="s">
        <v>28</v>
      </c>
    </row>
    <row r="34" spans="1:1" x14ac:dyDescent="0.3">
      <c r="A34" s="19" t="s">
        <v>29</v>
      </c>
    </row>
    <row r="35" spans="1:1" x14ac:dyDescent="0.3">
      <c r="A35" s="19" t="s">
        <v>30</v>
      </c>
    </row>
    <row r="36" spans="1:1" x14ac:dyDescent="0.3">
      <c r="A36" s="19" t="s">
        <v>31</v>
      </c>
    </row>
    <row r="37" spans="1:1" x14ac:dyDescent="0.3">
      <c r="A37" s="19" t="s">
        <v>32</v>
      </c>
    </row>
    <row r="38" spans="1:1" x14ac:dyDescent="0.3">
      <c r="A38" s="19" t="s">
        <v>33</v>
      </c>
    </row>
    <row r="39" spans="1:1" x14ac:dyDescent="0.3">
      <c r="A39" s="19" t="s">
        <v>34</v>
      </c>
    </row>
    <row r="40" spans="1:1" x14ac:dyDescent="0.3">
      <c r="A40" s="19" t="s">
        <v>35</v>
      </c>
    </row>
    <row r="41" spans="1:1" x14ac:dyDescent="0.3">
      <c r="A41" s="19" t="s">
        <v>36</v>
      </c>
    </row>
    <row r="42" spans="1:1" x14ac:dyDescent="0.3">
      <c r="A42" s="19" t="s">
        <v>37</v>
      </c>
    </row>
    <row r="43" spans="1:1" x14ac:dyDescent="0.3">
      <c r="A43" s="19" t="s">
        <v>38</v>
      </c>
    </row>
    <row r="44" spans="1:1" x14ac:dyDescent="0.3">
      <c r="A44" s="19" t="s">
        <v>39</v>
      </c>
    </row>
    <row r="45" spans="1:1" x14ac:dyDescent="0.3">
      <c r="A45" s="19" t="s">
        <v>40</v>
      </c>
    </row>
    <row r="46" spans="1:1" x14ac:dyDescent="0.3">
      <c r="A46" s="19" t="s">
        <v>41</v>
      </c>
    </row>
    <row r="47" spans="1:1" x14ac:dyDescent="0.3">
      <c r="A47" s="20"/>
    </row>
    <row r="48" spans="1:1" ht="51.75" x14ac:dyDescent="0.3">
      <c r="A48" s="17" t="s">
        <v>42</v>
      </c>
    </row>
    <row r="49" spans="1:1" x14ac:dyDescent="0.3">
      <c r="A49" s="19" t="s">
        <v>43</v>
      </c>
    </row>
    <row r="50" spans="1:1" x14ac:dyDescent="0.3">
      <c r="A50" s="19" t="s">
        <v>44</v>
      </c>
    </row>
    <row r="51" spans="1:1" x14ac:dyDescent="0.3">
      <c r="A51" s="19" t="s">
        <v>45</v>
      </c>
    </row>
    <row r="52" spans="1:1" x14ac:dyDescent="0.3">
      <c r="A52" s="19" t="s">
        <v>46</v>
      </c>
    </row>
    <row r="53" spans="1:1" x14ac:dyDescent="0.3">
      <c r="A53" s="19" t="s">
        <v>47</v>
      </c>
    </row>
    <row r="54" spans="1:1" x14ac:dyDescent="0.3">
      <c r="A54" s="19" t="s">
        <v>48</v>
      </c>
    </row>
    <row r="55" spans="1:1" x14ac:dyDescent="0.3">
      <c r="A55" s="19" t="s">
        <v>49</v>
      </c>
    </row>
    <row r="56" spans="1:1" x14ac:dyDescent="0.3">
      <c r="A56" s="19" t="s">
        <v>50</v>
      </c>
    </row>
    <row r="57" spans="1:1" x14ac:dyDescent="0.3">
      <c r="A57" s="19" t="s">
        <v>51</v>
      </c>
    </row>
    <row r="58" spans="1:1" x14ac:dyDescent="0.3">
      <c r="A58" s="19" t="s">
        <v>52</v>
      </c>
    </row>
    <row r="59" spans="1:1" x14ac:dyDescent="0.3">
      <c r="A59" s="19" t="s">
        <v>53</v>
      </c>
    </row>
    <row r="60" spans="1:1" ht="17.25" x14ac:dyDescent="0.3">
      <c r="A60" s="21"/>
    </row>
    <row r="61" spans="1:1" ht="51.75" x14ac:dyDescent="0.3">
      <c r="A61" s="17" t="s">
        <v>54</v>
      </c>
    </row>
    <row r="62" spans="1:1" x14ac:dyDescent="0.3">
      <c r="A62" s="19" t="s">
        <v>55</v>
      </c>
    </row>
    <row r="63" spans="1:1" x14ac:dyDescent="0.3">
      <c r="A63" s="23" t="s">
        <v>149</v>
      </c>
    </row>
    <row r="64" spans="1:1" x14ac:dyDescent="0.3">
      <c r="A64" s="23" t="s">
        <v>151</v>
      </c>
    </row>
    <row r="65" spans="1:1" x14ac:dyDescent="0.3">
      <c r="A65" s="23" t="s">
        <v>150</v>
      </c>
    </row>
    <row r="66" spans="1:1" x14ac:dyDescent="0.3">
      <c r="A66" s="19" t="s">
        <v>56</v>
      </c>
    </row>
    <row r="67" spans="1:1" x14ac:dyDescent="0.3">
      <c r="A67" s="23" t="s">
        <v>149</v>
      </c>
    </row>
    <row r="68" spans="1:1" x14ac:dyDescent="0.3">
      <c r="A68" s="23" t="s">
        <v>152</v>
      </c>
    </row>
    <row r="69" spans="1:1" x14ac:dyDescent="0.3">
      <c r="A69" s="23" t="s">
        <v>153</v>
      </c>
    </row>
    <row r="70" spans="1:1" x14ac:dyDescent="0.3">
      <c r="A70" s="23" t="s">
        <v>154</v>
      </c>
    </row>
    <row r="71" spans="1:1" x14ac:dyDescent="0.3">
      <c r="A71" s="19" t="s">
        <v>57</v>
      </c>
    </row>
    <row r="72" spans="1:1" x14ac:dyDescent="0.3">
      <c r="A72" s="23" t="s">
        <v>149</v>
      </c>
    </row>
    <row r="73" spans="1:1" x14ac:dyDescent="0.3">
      <c r="A73" s="23" t="s">
        <v>155</v>
      </c>
    </row>
    <row r="74" spans="1:1" x14ac:dyDescent="0.3">
      <c r="A74" s="23" t="s">
        <v>156</v>
      </c>
    </row>
    <row r="75" spans="1:1" x14ac:dyDescent="0.3">
      <c r="A75" s="23" t="s">
        <v>157</v>
      </c>
    </row>
    <row r="76" spans="1:1" x14ac:dyDescent="0.3">
      <c r="A76" s="19" t="s">
        <v>58</v>
      </c>
    </row>
    <row r="77" spans="1:1" x14ac:dyDescent="0.3">
      <c r="A77" s="23" t="s">
        <v>158</v>
      </c>
    </row>
    <row r="78" spans="1:1" x14ac:dyDescent="0.3">
      <c r="A78" s="19" t="s">
        <v>59</v>
      </c>
    </row>
    <row r="79" spans="1:1" x14ac:dyDescent="0.3">
      <c r="A79" s="23" t="s">
        <v>159</v>
      </c>
    </row>
    <row r="80" spans="1:1" x14ac:dyDescent="0.3">
      <c r="A80" s="23" t="s">
        <v>160</v>
      </c>
    </row>
    <row r="81" spans="1:1" x14ac:dyDescent="0.3">
      <c r="A81" s="19" t="s">
        <v>60</v>
      </c>
    </row>
    <row r="82" spans="1:1" x14ac:dyDescent="0.3">
      <c r="A82" s="23" t="s">
        <v>161</v>
      </c>
    </row>
    <row r="83" spans="1:1" x14ac:dyDescent="0.3">
      <c r="A83" s="23" t="s">
        <v>162</v>
      </c>
    </row>
    <row r="84" spans="1:1" x14ac:dyDescent="0.3">
      <c r="A84" s="19" t="s">
        <v>61</v>
      </c>
    </row>
    <row r="85" spans="1:1" x14ac:dyDescent="0.3">
      <c r="A85" s="20"/>
    </row>
    <row r="86" spans="1:1" ht="51.75" x14ac:dyDescent="0.3">
      <c r="A86" s="17" t="s">
        <v>62</v>
      </c>
    </row>
    <row r="87" spans="1:1" x14ac:dyDescent="0.3">
      <c r="A87" s="19" t="s">
        <v>63</v>
      </c>
    </row>
    <row r="88" spans="1:1" x14ac:dyDescent="0.3">
      <c r="A88" s="20"/>
    </row>
    <row r="89" spans="1:1" ht="51.75" x14ac:dyDescent="0.3">
      <c r="A89" s="17" t="s">
        <v>64</v>
      </c>
    </row>
    <row r="90" spans="1:1" x14ac:dyDescent="0.3">
      <c r="A90" s="19" t="s">
        <v>65</v>
      </c>
    </row>
    <row r="91" spans="1:1" x14ac:dyDescent="0.3">
      <c r="A91" s="23" t="s">
        <v>163</v>
      </c>
    </row>
    <row r="92" spans="1:1" x14ac:dyDescent="0.3">
      <c r="A92" s="23" t="s">
        <v>164</v>
      </c>
    </row>
    <row r="93" spans="1:1" x14ac:dyDescent="0.3">
      <c r="A93" s="23" t="s">
        <v>165</v>
      </c>
    </row>
    <row r="94" spans="1:1" x14ac:dyDescent="0.3">
      <c r="A94" s="19" t="s">
        <v>66</v>
      </c>
    </row>
    <row r="95" spans="1:1" x14ac:dyDescent="0.3">
      <c r="A95" s="23" t="s">
        <v>166</v>
      </c>
    </row>
    <row r="96" spans="1:1" x14ac:dyDescent="0.3">
      <c r="A96" s="23" t="s">
        <v>167</v>
      </c>
    </row>
    <row r="97" spans="1:1" x14ac:dyDescent="0.3">
      <c r="A97" s="22" t="s">
        <v>67</v>
      </c>
    </row>
    <row r="98" spans="1:1" x14ac:dyDescent="0.3">
      <c r="A98" s="22" t="s">
        <v>68</v>
      </c>
    </row>
    <row r="99" spans="1:1" x14ac:dyDescent="0.3">
      <c r="A99" s="22" t="s">
        <v>69</v>
      </c>
    </row>
    <row r="100" spans="1:1" x14ac:dyDescent="0.3">
      <c r="A100" s="22" t="s">
        <v>70</v>
      </c>
    </row>
    <row r="101" spans="1:1" ht="17.25" x14ac:dyDescent="0.3">
      <c r="A101" s="21"/>
    </row>
    <row r="102" spans="1:1" ht="34.5" x14ac:dyDescent="0.3">
      <c r="A102" s="17" t="s">
        <v>71</v>
      </c>
    </row>
    <row r="103" spans="1:1" x14ac:dyDescent="0.3">
      <c r="A103" s="19" t="s">
        <v>72</v>
      </c>
    </row>
    <row r="104" spans="1:1" x14ac:dyDescent="0.3">
      <c r="A104" s="23" t="s">
        <v>168</v>
      </c>
    </row>
    <row r="105" spans="1:1" x14ac:dyDescent="0.3">
      <c r="A105" s="23" t="s">
        <v>169</v>
      </c>
    </row>
    <row r="106" spans="1:1" x14ac:dyDescent="0.3">
      <c r="A106" s="23" t="s">
        <v>170</v>
      </c>
    </row>
    <row r="107" spans="1:1" x14ac:dyDescent="0.3">
      <c r="A107" s="19" t="s">
        <v>73</v>
      </c>
    </row>
    <row r="108" spans="1:1" x14ac:dyDescent="0.3">
      <c r="A108" s="19" t="s">
        <v>74</v>
      </c>
    </row>
    <row r="109" spans="1:1" x14ac:dyDescent="0.3">
      <c r="A109" s="19" t="s">
        <v>75</v>
      </c>
    </row>
    <row r="110" spans="1:1" x14ac:dyDescent="0.3">
      <c r="A110" s="20"/>
    </row>
    <row r="111" spans="1:1" ht="51.75" x14ac:dyDescent="0.3">
      <c r="A111" s="17" t="s">
        <v>76</v>
      </c>
    </row>
    <row r="112" spans="1:1" x14ac:dyDescent="0.3">
      <c r="A112" s="19" t="s">
        <v>77</v>
      </c>
    </row>
    <row r="113" spans="1:1" x14ac:dyDescent="0.3">
      <c r="A113" s="23" t="s">
        <v>171</v>
      </c>
    </row>
    <row r="114" spans="1:1" x14ac:dyDescent="0.3">
      <c r="A114" s="23" t="s">
        <v>172</v>
      </c>
    </row>
    <row r="115" spans="1:1" x14ac:dyDescent="0.3">
      <c r="A115" s="19" t="s">
        <v>78</v>
      </c>
    </row>
    <row r="116" spans="1:1" x14ac:dyDescent="0.3">
      <c r="A116" s="23" t="s">
        <v>173</v>
      </c>
    </row>
    <row r="117" spans="1:1" x14ac:dyDescent="0.3">
      <c r="A117" s="19" t="s">
        <v>79</v>
      </c>
    </row>
    <row r="118" spans="1:1" x14ac:dyDescent="0.3">
      <c r="A118" s="23" t="s">
        <v>174</v>
      </c>
    </row>
    <row r="119" spans="1:1" x14ac:dyDescent="0.3">
      <c r="A119" s="23" t="s">
        <v>175</v>
      </c>
    </row>
    <row r="120" spans="1:1" x14ac:dyDescent="0.3">
      <c r="A120" s="23" t="s">
        <v>176</v>
      </c>
    </row>
    <row r="121" spans="1:1" x14ac:dyDescent="0.3">
      <c r="A121" s="23" t="s">
        <v>177</v>
      </c>
    </row>
    <row r="122" spans="1:1" x14ac:dyDescent="0.3">
      <c r="A122" s="19" t="s">
        <v>80</v>
      </c>
    </row>
    <row r="123" spans="1:1" x14ac:dyDescent="0.3">
      <c r="A123" s="23" t="s">
        <v>178</v>
      </c>
    </row>
    <row r="124" spans="1:1" x14ac:dyDescent="0.3">
      <c r="A124" s="23" t="s">
        <v>179</v>
      </c>
    </row>
    <row r="125" spans="1:1" x14ac:dyDescent="0.3">
      <c r="A125" s="23" t="s">
        <v>180</v>
      </c>
    </row>
    <row r="126" spans="1:1" x14ac:dyDescent="0.3">
      <c r="A126" s="19" t="s">
        <v>61</v>
      </c>
    </row>
    <row r="127" spans="1:1" ht="17.25" x14ac:dyDescent="0.3">
      <c r="A127" s="15"/>
    </row>
  </sheetData>
  <pageMargins left="0.7" right="0.7" top="0.75" bottom="0.75" header="0.3" footer="0.3"/>
  <pageSetup orientation="portrait" horizontalDpi="1200" verticalDpi="1200" r:id="rId1"/>
  <headerFooter>
    <oddHeader>&amp;L&amp;F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E3183-2E85-40BF-8232-EFD0E5B5E541}">
  <sheetPr>
    <tabColor rgb="FF049FDA"/>
  </sheetPr>
  <dimension ref="A1:I111"/>
  <sheetViews>
    <sheetView view="pageLayout" zoomScaleNormal="100" workbookViewId="0">
      <selection activeCell="B1" sqref="B1"/>
    </sheetView>
  </sheetViews>
  <sheetFormatPr defaultRowHeight="16.5" x14ac:dyDescent="0.3"/>
  <cols>
    <col min="1" max="1" width="125.5" style="18" customWidth="1"/>
    <col min="2" max="5" width="9" style="18"/>
    <col min="6" max="6" width="9" style="18" customWidth="1"/>
    <col min="7" max="16384" width="9" style="18"/>
  </cols>
  <sheetData>
    <row r="1" spans="1:9" ht="26.25" x14ac:dyDescent="0.45">
      <c r="A1" s="13" t="s">
        <v>198</v>
      </c>
      <c r="B1" s="24"/>
      <c r="C1" s="24"/>
      <c r="D1" s="24"/>
      <c r="E1" s="24"/>
      <c r="F1" s="24"/>
      <c r="G1" s="24"/>
      <c r="H1" s="24"/>
      <c r="I1" s="24"/>
    </row>
    <row r="3" spans="1:9" ht="17.25" x14ac:dyDescent="0.3">
      <c r="A3" s="43" t="s">
        <v>199</v>
      </c>
      <c r="B3"/>
    </row>
    <row r="4" spans="1:9" ht="17.25" x14ac:dyDescent="0.3">
      <c r="A4" s="44" t="s">
        <v>200</v>
      </c>
      <c r="B4"/>
    </row>
    <row r="5" spans="1:9" ht="17.25" x14ac:dyDescent="0.3">
      <c r="A5" s="44" t="s">
        <v>201</v>
      </c>
      <c r="B5"/>
    </row>
    <row r="6" spans="1:9" ht="34.5" x14ac:dyDescent="0.3">
      <c r="A6" s="48" t="s">
        <v>229</v>
      </c>
      <c r="B6"/>
    </row>
    <row r="7" spans="1:9" ht="17.25" x14ac:dyDescent="0.3">
      <c r="A7" s="44" t="s">
        <v>202</v>
      </c>
      <c r="B7"/>
    </row>
    <row r="8" spans="1:9" ht="17.25" x14ac:dyDescent="0.3">
      <c r="A8" s="44" t="s">
        <v>203</v>
      </c>
      <c r="B8"/>
    </row>
    <row r="9" spans="1:9" ht="17.25" x14ac:dyDescent="0.3">
      <c r="A9" s="44" t="s">
        <v>204</v>
      </c>
      <c r="B9"/>
    </row>
    <row r="10" spans="1:9" ht="17.25" x14ac:dyDescent="0.3">
      <c r="A10" s="44" t="s">
        <v>205</v>
      </c>
      <c r="B10"/>
    </row>
    <row r="11" spans="1:9" ht="17.25" x14ac:dyDescent="0.3">
      <c r="A11" s="44" t="s">
        <v>206</v>
      </c>
      <c r="B11"/>
    </row>
    <row r="12" spans="1:9" ht="17.25" x14ac:dyDescent="0.3">
      <c r="A12" s="45" t="s">
        <v>207</v>
      </c>
      <c r="B12"/>
    </row>
    <row r="13" spans="1:9" ht="17.25" x14ac:dyDescent="0.3">
      <c r="A13" s="46"/>
      <c r="B13"/>
    </row>
    <row r="14" spans="1:9" ht="17.25" x14ac:dyDescent="0.3">
      <c r="A14" s="43" t="s">
        <v>208</v>
      </c>
    </row>
    <row r="15" spans="1:9" ht="17.25" x14ac:dyDescent="0.3">
      <c r="A15" s="45" t="s">
        <v>209</v>
      </c>
      <c r="B15"/>
    </row>
    <row r="16" spans="1:9" ht="17.25" x14ac:dyDescent="0.3">
      <c r="A16" s="45" t="s">
        <v>230</v>
      </c>
      <c r="B16"/>
    </row>
    <row r="17" spans="1:2" ht="17.25" x14ac:dyDescent="0.3">
      <c r="A17" s="45" t="s">
        <v>210</v>
      </c>
      <c r="B17"/>
    </row>
    <row r="18" spans="1:2" ht="17.25" x14ac:dyDescent="0.3">
      <c r="A18" s="45" t="s">
        <v>211</v>
      </c>
      <c r="B18"/>
    </row>
    <row r="19" spans="1:2" ht="17.25" x14ac:dyDescent="0.3">
      <c r="A19" s="45" t="s">
        <v>212</v>
      </c>
      <c r="B19"/>
    </row>
    <row r="20" spans="1:2" ht="17.25" x14ac:dyDescent="0.3">
      <c r="A20" s="45" t="s">
        <v>213</v>
      </c>
      <c r="B20"/>
    </row>
    <row r="21" spans="1:2" ht="17.25" x14ac:dyDescent="0.3">
      <c r="A21" s="45" t="s">
        <v>214</v>
      </c>
      <c r="B21"/>
    </row>
    <row r="22" spans="1:2" ht="17.25" x14ac:dyDescent="0.3">
      <c r="A22" s="47"/>
      <c r="B22"/>
    </row>
    <row r="23" spans="1:2" ht="17.25" x14ac:dyDescent="0.3">
      <c r="A23" s="43" t="s">
        <v>215</v>
      </c>
      <c r="B23"/>
    </row>
    <row r="24" spans="1:2" ht="17.25" x14ac:dyDescent="0.3">
      <c r="A24" s="45" t="s">
        <v>231</v>
      </c>
      <c r="B24"/>
    </row>
    <row r="25" spans="1:2" ht="17.25" x14ac:dyDescent="0.3">
      <c r="A25" s="45" t="s">
        <v>232</v>
      </c>
      <c r="B25"/>
    </row>
    <row r="26" spans="1:2" ht="17.25" x14ac:dyDescent="0.3">
      <c r="A26" s="45" t="s">
        <v>216</v>
      </c>
      <c r="B26"/>
    </row>
    <row r="27" spans="1:2" ht="17.25" x14ac:dyDescent="0.3">
      <c r="A27" s="45" t="s">
        <v>217</v>
      </c>
      <c r="B27"/>
    </row>
    <row r="28" spans="1:2" ht="17.25" x14ac:dyDescent="0.3">
      <c r="A28" s="45" t="s">
        <v>218</v>
      </c>
      <c r="B28"/>
    </row>
    <row r="29" spans="1:2" ht="17.25" x14ac:dyDescent="0.3">
      <c r="A29" s="45" t="s">
        <v>219</v>
      </c>
      <c r="B29"/>
    </row>
    <row r="30" spans="1:2" ht="17.25" x14ac:dyDescent="0.3">
      <c r="A30" s="46"/>
      <c r="B30"/>
    </row>
    <row r="31" spans="1:2" ht="17.25" x14ac:dyDescent="0.3">
      <c r="A31" s="43" t="s">
        <v>220</v>
      </c>
      <c r="B31"/>
    </row>
    <row r="32" spans="1:2" ht="17.25" x14ac:dyDescent="0.3">
      <c r="A32" s="45" t="s">
        <v>221</v>
      </c>
      <c r="B32"/>
    </row>
    <row r="33" spans="1:2" ht="17.25" x14ac:dyDescent="0.3">
      <c r="A33" s="45" t="s">
        <v>222</v>
      </c>
      <c r="B33"/>
    </row>
    <row r="34" spans="1:2" ht="17.25" x14ac:dyDescent="0.3">
      <c r="A34" s="45" t="s">
        <v>233</v>
      </c>
      <c r="B34"/>
    </row>
    <row r="35" spans="1:2" ht="17.25" x14ac:dyDescent="0.3">
      <c r="A35" s="45" t="s">
        <v>223</v>
      </c>
      <c r="B35"/>
    </row>
    <row r="36" spans="1:2" ht="17.25" x14ac:dyDescent="0.3">
      <c r="A36" s="45"/>
      <c r="B36"/>
    </row>
    <row r="37" spans="1:2" ht="17.25" x14ac:dyDescent="0.3">
      <c r="A37" s="45"/>
      <c r="B37"/>
    </row>
    <row r="38" spans="1:2" ht="17.25" x14ac:dyDescent="0.3">
      <c r="A38" s="45"/>
      <c r="B38"/>
    </row>
    <row r="39" spans="1:2" ht="17.25" x14ac:dyDescent="0.3">
      <c r="A39" s="43" t="s">
        <v>224</v>
      </c>
      <c r="B39"/>
    </row>
    <row r="40" spans="1:2" ht="34.5" x14ac:dyDescent="0.3">
      <c r="A40" s="49" t="s">
        <v>234</v>
      </c>
      <c r="B40"/>
    </row>
    <row r="41" spans="1:2" ht="17.25" x14ac:dyDescent="0.3">
      <c r="A41" s="45" t="s">
        <v>235</v>
      </c>
      <c r="B41"/>
    </row>
    <row r="42" spans="1:2" ht="17.25" x14ac:dyDescent="0.3">
      <c r="A42" s="45" t="s">
        <v>236</v>
      </c>
      <c r="B42"/>
    </row>
    <row r="43" spans="1:2" ht="17.25" x14ac:dyDescent="0.3">
      <c r="A43" s="45" t="s">
        <v>225</v>
      </c>
      <c r="B43"/>
    </row>
    <row r="44" spans="1:2" ht="17.25" x14ac:dyDescent="0.3">
      <c r="A44" s="45" t="s">
        <v>237</v>
      </c>
      <c r="B44"/>
    </row>
    <row r="45" spans="1:2" ht="17.25" x14ac:dyDescent="0.3">
      <c r="A45" s="46"/>
      <c r="B45"/>
    </row>
    <row r="46" spans="1:2" ht="17.25" x14ac:dyDescent="0.3">
      <c r="A46" s="43" t="s">
        <v>226</v>
      </c>
      <c r="B46"/>
    </row>
    <row r="47" spans="1:2" ht="17.25" x14ac:dyDescent="0.3">
      <c r="A47" s="45" t="s">
        <v>227</v>
      </c>
      <c r="B47"/>
    </row>
    <row r="48" spans="1:2" ht="51.75" x14ac:dyDescent="0.3">
      <c r="A48" s="49" t="s">
        <v>238</v>
      </c>
      <c r="B48"/>
    </row>
    <row r="49" spans="1:2" ht="17.25" x14ac:dyDescent="0.3">
      <c r="A49" s="45" t="s">
        <v>228</v>
      </c>
      <c r="B49"/>
    </row>
    <row r="50" spans="1:2" ht="17.25" x14ac:dyDescent="0.3">
      <c r="A50" s="45" t="s">
        <v>239</v>
      </c>
      <c r="B50"/>
    </row>
    <row r="77" spans="1:1" x14ac:dyDescent="0.3">
      <c r="A77" s="50" t="s">
        <v>244</v>
      </c>
    </row>
    <row r="78" spans="1:1" x14ac:dyDescent="0.3">
      <c r="A78" s="50" t="s">
        <v>245</v>
      </c>
    </row>
    <row r="79" spans="1:1" x14ac:dyDescent="0.3">
      <c r="A79" s="50" t="s">
        <v>267</v>
      </c>
    </row>
    <row r="80" spans="1:1" x14ac:dyDescent="0.3">
      <c r="A80" s="50" t="s">
        <v>268</v>
      </c>
    </row>
    <row r="81" spans="1:1" x14ac:dyDescent="0.3">
      <c r="A81" s="50" t="s">
        <v>269</v>
      </c>
    </row>
    <row r="82" spans="1:1" x14ac:dyDescent="0.3">
      <c r="A82" s="50" t="s">
        <v>246</v>
      </c>
    </row>
    <row r="83" spans="1:1" x14ac:dyDescent="0.3">
      <c r="A83" s="50" t="s">
        <v>247</v>
      </c>
    </row>
    <row r="84" spans="1:1" x14ac:dyDescent="0.3">
      <c r="A84" s="50" t="s">
        <v>248</v>
      </c>
    </row>
    <row r="85" spans="1:1" x14ac:dyDescent="0.3">
      <c r="A85" s="50" t="s">
        <v>249</v>
      </c>
    </row>
    <row r="86" spans="1:1" x14ac:dyDescent="0.3">
      <c r="A86" s="50" t="s">
        <v>250</v>
      </c>
    </row>
    <row r="87" spans="1:1" x14ac:dyDescent="0.3">
      <c r="A87" s="50" t="s">
        <v>270</v>
      </c>
    </row>
    <row r="88" spans="1:1" x14ac:dyDescent="0.3">
      <c r="A88" s="50" t="s">
        <v>251</v>
      </c>
    </row>
    <row r="89" spans="1:1" x14ac:dyDescent="0.3">
      <c r="A89" s="50" t="s">
        <v>252</v>
      </c>
    </row>
    <row r="90" spans="1:1" x14ac:dyDescent="0.3">
      <c r="A90" s="50" t="s">
        <v>253</v>
      </c>
    </row>
    <row r="91" spans="1:1" x14ac:dyDescent="0.3">
      <c r="A91" s="50" t="s">
        <v>254</v>
      </c>
    </row>
    <row r="92" spans="1:1" x14ac:dyDescent="0.3">
      <c r="A92" s="50" t="s">
        <v>255</v>
      </c>
    </row>
    <row r="93" spans="1:1" x14ac:dyDescent="0.3">
      <c r="A93" s="50" t="s">
        <v>271</v>
      </c>
    </row>
    <row r="94" spans="1:1" x14ac:dyDescent="0.3">
      <c r="A94" s="50" t="s">
        <v>272</v>
      </c>
    </row>
    <row r="95" spans="1:1" x14ac:dyDescent="0.3">
      <c r="A95" s="50" t="s">
        <v>256</v>
      </c>
    </row>
    <row r="96" spans="1:1" x14ac:dyDescent="0.3">
      <c r="A96" s="50" t="s">
        <v>257</v>
      </c>
    </row>
    <row r="97" spans="1:1" x14ac:dyDescent="0.3">
      <c r="A97" s="50" t="s">
        <v>258</v>
      </c>
    </row>
    <row r="98" spans="1:1" x14ac:dyDescent="0.3">
      <c r="A98" s="50" t="s">
        <v>259</v>
      </c>
    </row>
    <row r="99" spans="1:1" x14ac:dyDescent="0.3">
      <c r="A99" s="50" t="s">
        <v>260</v>
      </c>
    </row>
    <row r="100" spans="1:1" x14ac:dyDescent="0.3">
      <c r="A100" s="50" t="s">
        <v>261</v>
      </c>
    </row>
    <row r="101" spans="1:1" x14ac:dyDescent="0.3">
      <c r="A101" s="50" t="s">
        <v>273</v>
      </c>
    </row>
    <row r="102" spans="1:1" x14ac:dyDescent="0.3">
      <c r="A102" s="50" t="s">
        <v>262</v>
      </c>
    </row>
    <row r="103" spans="1:1" x14ac:dyDescent="0.3">
      <c r="A103" s="50" t="s">
        <v>274</v>
      </c>
    </row>
    <row r="104" spans="1:1" x14ac:dyDescent="0.3">
      <c r="A104" s="50" t="s">
        <v>275</v>
      </c>
    </row>
    <row r="105" spans="1:1" x14ac:dyDescent="0.3">
      <c r="A105" s="50" t="s">
        <v>276</v>
      </c>
    </row>
    <row r="106" spans="1:1" x14ac:dyDescent="0.3">
      <c r="A106" s="50" t="s">
        <v>263</v>
      </c>
    </row>
    <row r="107" spans="1:1" x14ac:dyDescent="0.3">
      <c r="A107" s="50" t="s">
        <v>277</v>
      </c>
    </row>
    <row r="108" spans="1:1" x14ac:dyDescent="0.3">
      <c r="A108" s="50" t="s">
        <v>264</v>
      </c>
    </row>
    <row r="109" spans="1:1" ht="25.5" x14ac:dyDescent="0.3">
      <c r="A109" s="50" t="s">
        <v>278</v>
      </c>
    </row>
    <row r="110" spans="1:1" x14ac:dyDescent="0.3">
      <c r="A110" s="50" t="s">
        <v>265</v>
      </c>
    </row>
    <row r="111" spans="1:1" x14ac:dyDescent="0.3">
      <c r="A111" s="50" t="s">
        <v>279</v>
      </c>
    </row>
  </sheetData>
  <pageMargins left="0.7" right="0.7" top="0.75" bottom="0.75" header="0.3" footer="0.3"/>
  <pageSetup orientation="portrait" horizontalDpi="1200" verticalDpi="1200" r:id="rId1"/>
  <headerFooter>
    <oddHeader>&amp;L&amp;F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C51A-844F-456F-9D61-28B91A82E9EC}">
  <sheetPr>
    <tabColor rgb="FF0E406A"/>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8" style="25"/>
    <col min="10" max="10" width="10.125" style="25" customWidth="1"/>
    <col min="11" max="16384" width="9" style="25"/>
  </cols>
  <sheetData>
    <row r="1" spans="1:8" x14ac:dyDescent="0.3">
      <c r="A1" s="40" t="s">
        <v>241</v>
      </c>
    </row>
    <row r="2" spans="1:8" ht="26.25" x14ac:dyDescent="0.45">
      <c r="A2" s="56" t="s">
        <v>132</v>
      </c>
      <c r="B2" s="57"/>
      <c r="C2" s="57"/>
      <c r="D2" s="57"/>
      <c r="E2" s="57"/>
      <c r="F2" s="58"/>
      <c r="G2" s="36">
        <f>Table132[[#Totals],[Reimbursement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 of hours])</f>
        <v>0</v>
      </c>
      <c r="D12" s="35">
        <f>SUM(Table132['# of people reached])</f>
        <v>0</v>
      </c>
      <c r="E12" s="35">
        <f>SUM(Table132['# of participants])</f>
        <v>0</v>
      </c>
      <c r="F12" s="35">
        <f>SUBTOTAL(109,Table132['# of items handed out])</f>
        <v>0</v>
      </c>
      <c r="G12" s="37">
        <f>SUBTOTAL(109,Table132[Reimbursement Amount Requested])</f>
        <v>0</v>
      </c>
      <c r="H12" s="52"/>
    </row>
    <row r="13" spans="1:8" x14ac:dyDescent="0.3">
      <c r="H13" s="52"/>
    </row>
    <row r="14" spans="1:8" ht="26.25" x14ac:dyDescent="0.45">
      <c r="A14" s="56" t="s">
        <v>140</v>
      </c>
      <c r="B14" s="57"/>
      <c r="C14" s="57"/>
      <c r="D14" s="57"/>
      <c r="E14" s="57"/>
      <c r="F14" s="58"/>
      <c r="G14" s="36">
        <f>Table1326[[#Totals],[Reimbursement Amount Requested]]</f>
        <v>0</v>
      </c>
      <c r="H14" s="52"/>
    </row>
    <row r="15" spans="1:8" ht="17.25" x14ac:dyDescent="0.3">
      <c r="A15" s="59" t="s">
        <v>142</v>
      </c>
      <c r="B15" s="60"/>
      <c r="C15" s="60"/>
      <c r="D15" s="60"/>
      <c r="E15" s="60"/>
      <c r="F15" s="60"/>
      <c r="G15" s="60"/>
      <c r="H15" s="52"/>
    </row>
    <row r="16" spans="1:8" x14ac:dyDescent="0.3">
      <c r="A16" s="61" t="s">
        <v>141</v>
      </c>
      <c r="B16" s="61"/>
      <c r="C16" s="61"/>
      <c r="D16" s="61"/>
      <c r="E16" s="61"/>
      <c r="F16" s="61"/>
      <c r="G16" s="61"/>
      <c r="H16" s="52"/>
    </row>
    <row r="17" spans="1:8"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 of hours])</f>
        <v>0</v>
      </c>
      <c r="D29" s="35">
        <f>SUM(Table1326['# of people reached])</f>
        <v>0</v>
      </c>
      <c r="E29" s="35">
        <f>SUM(Table1326['# of participants])</f>
        <v>0</v>
      </c>
      <c r="F29" s="35">
        <f>SUBTOTAL(109,Table1326['# of items handed out])</f>
        <v>0</v>
      </c>
      <c r="G29" s="37">
        <f>SUBTOTAL(109,Table1326[Reimbursement Amount Requested])</f>
        <v>0</v>
      </c>
      <c r="H29" s="52"/>
    </row>
    <row r="30" spans="1:8" x14ac:dyDescent="0.3">
      <c r="H30" s="52"/>
    </row>
    <row r="31" spans="1:8" ht="26.25" x14ac:dyDescent="0.45">
      <c r="A31" s="56" t="s">
        <v>143</v>
      </c>
      <c r="B31" s="57"/>
      <c r="C31" s="57"/>
      <c r="D31" s="57"/>
      <c r="E31" s="57"/>
      <c r="F31" s="58"/>
      <c r="G31" s="36">
        <f>Table13267[[#Totals],[Reimbursement Amount Requested]]</f>
        <v>0</v>
      </c>
      <c r="H31" s="52"/>
    </row>
    <row r="32" spans="1:8" ht="17.25" x14ac:dyDescent="0.3">
      <c r="A32" s="59" t="s">
        <v>144</v>
      </c>
      <c r="B32" s="60"/>
      <c r="C32" s="60"/>
      <c r="D32" s="60"/>
      <c r="E32" s="60"/>
      <c r="F32" s="60"/>
      <c r="G32" s="60"/>
      <c r="H32" s="52"/>
    </row>
    <row r="33" spans="1:8" x14ac:dyDescent="0.3">
      <c r="A33" s="61" t="s">
        <v>145</v>
      </c>
      <c r="B33" s="61"/>
      <c r="C33" s="61"/>
      <c r="D33" s="61"/>
      <c r="E33" s="61"/>
      <c r="F33" s="61"/>
      <c r="G33" s="61"/>
      <c r="H33" s="52"/>
    </row>
    <row r="34" spans="1:8"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 of hours])</f>
        <v>0</v>
      </c>
      <c r="D41" s="35">
        <f>SUM(Table13267['# of people reached])</f>
        <v>0</v>
      </c>
      <c r="E41" s="35">
        <f>SUM(Table13267['# of participants])</f>
        <v>0</v>
      </c>
      <c r="F41" s="35">
        <f>SUBTOTAL(109,Table13267['# of items handed out])</f>
        <v>0</v>
      </c>
      <c r="G41" s="37">
        <f>SUBTOTAL(109,Table13267[Reimbursement Amount Requested])</f>
        <v>0</v>
      </c>
      <c r="H41" s="52"/>
    </row>
    <row r="42" spans="1:8" x14ac:dyDescent="0.3">
      <c r="H42" s="52"/>
    </row>
    <row r="43" spans="1:8" ht="26.25" x14ac:dyDescent="0.45">
      <c r="A43" s="56" t="s">
        <v>146</v>
      </c>
      <c r="B43" s="57"/>
      <c r="C43" s="57"/>
      <c r="D43" s="57"/>
      <c r="E43" s="57"/>
      <c r="F43" s="58"/>
      <c r="G43" s="36">
        <f>Table132678[[#Totals],[Reimbursement Amount Requested]]</f>
        <v>0</v>
      </c>
      <c r="H43" s="52"/>
    </row>
    <row r="44" spans="1:8" ht="17.25" x14ac:dyDescent="0.3">
      <c r="A44" s="59" t="s">
        <v>147</v>
      </c>
      <c r="B44" s="60"/>
      <c r="C44" s="60"/>
      <c r="D44" s="60"/>
      <c r="E44" s="60"/>
      <c r="F44" s="60"/>
      <c r="G44" s="60"/>
      <c r="H44" s="52"/>
    </row>
    <row r="45" spans="1:8" x14ac:dyDescent="0.3">
      <c r="A45" s="61" t="s">
        <v>148</v>
      </c>
      <c r="B45" s="61"/>
      <c r="C45" s="61"/>
      <c r="D45" s="61"/>
      <c r="E45" s="61"/>
      <c r="F45" s="61"/>
      <c r="G45" s="61"/>
      <c r="H45" s="52"/>
    </row>
    <row r="46" spans="1:8"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 of hours])</f>
        <v>0</v>
      </c>
      <c r="D53" s="35">
        <f>SUM(Table132678['# of people reached])</f>
        <v>0</v>
      </c>
      <c r="E53" s="35">
        <f>SUM(Table132678['# of participants])</f>
        <v>0</v>
      </c>
      <c r="F53" s="35">
        <f>SUBTOTAL(109,Table132678['# of items handed out])</f>
        <v>0</v>
      </c>
      <c r="G53" s="37">
        <f>SUBTOTAL(109,Table132678[Reimbursement Amount Requested])</f>
        <v>0</v>
      </c>
      <c r="H53" s="52"/>
    </row>
    <row r="54" spans="1:8" x14ac:dyDescent="0.3">
      <c r="H54" s="52"/>
    </row>
    <row r="55" spans="1:8" ht="26.25" x14ac:dyDescent="0.45">
      <c r="A55" s="56" t="s">
        <v>181</v>
      </c>
      <c r="B55" s="57"/>
      <c r="C55" s="57"/>
      <c r="D55" s="57"/>
      <c r="E55" s="57"/>
      <c r="F55" s="58"/>
      <c r="G55" s="36">
        <f>Table1326789[[#Totals],[Reimbursement Amount Requested]]</f>
        <v>0</v>
      </c>
      <c r="H55" s="52"/>
    </row>
    <row r="56" spans="1:8" ht="17.25" x14ac:dyDescent="0.3">
      <c r="A56" s="59" t="s">
        <v>182</v>
      </c>
      <c r="B56" s="60"/>
      <c r="C56" s="60"/>
      <c r="D56" s="60"/>
      <c r="E56" s="60"/>
      <c r="F56" s="60"/>
      <c r="G56" s="60"/>
      <c r="H56" s="52"/>
    </row>
    <row r="57" spans="1:8" x14ac:dyDescent="0.3">
      <c r="A57" s="61" t="s">
        <v>183</v>
      </c>
      <c r="B57" s="61"/>
      <c r="C57" s="61"/>
      <c r="D57" s="61"/>
      <c r="E57" s="61"/>
      <c r="F57" s="61"/>
      <c r="G57" s="61"/>
      <c r="H57" s="52"/>
    </row>
    <row r="58" spans="1:8"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 of hours])</f>
        <v>0</v>
      </c>
      <c r="D62" s="35">
        <f>SUM(Table1326789['# of people reached])</f>
        <v>0</v>
      </c>
      <c r="E62" s="35">
        <f>SUM(Table1326789['# of participants])</f>
        <v>0</v>
      </c>
      <c r="F62" s="35">
        <f>SUBTOTAL(109,Table1326789['# of items handed out])</f>
        <v>0</v>
      </c>
      <c r="G62" s="31">
        <f>SUBTOTAL(109,Table1326789[Reimbursement Amount Requested])</f>
        <v>0</v>
      </c>
      <c r="H62" s="52"/>
    </row>
    <row r="63" spans="1:8" x14ac:dyDescent="0.3">
      <c r="H63" s="52"/>
    </row>
    <row r="64" spans="1:8" ht="26.25" x14ac:dyDescent="0.45">
      <c r="A64" s="56" t="s">
        <v>186</v>
      </c>
      <c r="B64" s="57"/>
      <c r="C64" s="57"/>
      <c r="D64" s="57"/>
      <c r="E64" s="57"/>
      <c r="F64" s="58"/>
      <c r="G64" s="36">
        <f>Table13267810[[#Totals],[Reimbursement Amount Requested]]</f>
        <v>0</v>
      </c>
      <c r="H64" s="52"/>
    </row>
    <row r="65" spans="1:8" ht="17.25" x14ac:dyDescent="0.3">
      <c r="A65" s="59" t="s">
        <v>184</v>
      </c>
      <c r="B65" s="60"/>
      <c r="C65" s="60"/>
      <c r="D65" s="60"/>
      <c r="E65" s="60"/>
      <c r="F65" s="60"/>
      <c r="G65" s="60"/>
      <c r="H65" s="52"/>
    </row>
    <row r="66" spans="1:8" x14ac:dyDescent="0.3">
      <c r="A66" s="61" t="s">
        <v>185</v>
      </c>
      <c r="B66" s="61"/>
      <c r="C66" s="61"/>
      <c r="D66" s="61"/>
      <c r="E66" s="61"/>
      <c r="F66" s="61"/>
      <c r="G66" s="61"/>
      <c r="H66" s="52"/>
    </row>
    <row r="67" spans="1:8"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 of hours])</f>
        <v>0</v>
      </c>
      <c r="D74" s="35">
        <f>SUM(Table13267810['# of people reached])</f>
        <v>0</v>
      </c>
      <c r="E74" s="35">
        <f>SUM(Table13267810['# of participants])</f>
        <v>0</v>
      </c>
      <c r="F74" s="35">
        <f>SUBTOTAL(109,Table13267810['# of items handed out])</f>
        <v>0</v>
      </c>
      <c r="G74" s="37">
        <f>SUBTOTAL(109,Table13267810[Reimbursement Amount Requested])</f>
        <v>0</v>
      </c>
      <c r="H74" s="52"/>
    </row>
    <row r="75" spans="1:8" x14ac:dyDescent="0.3">
      <c r="H75" s="52"/>
    </row>
    <row r="76" spans="1:8" ht="26.25" x14ac:dyDescent="0.45">
      <c r="A76" s="56" t="s">
        <v>187</v>
      </c>
      <c r="B76" s="57"/>
      <c r="C76" s="57"/>
      <c r="D76" s="57"/>
      <c r="E76" s="57"/>
      <c r="F76" s="58"/>
      <c r="G76" s="36">
        <f>Table1326781011[[#Totals],[Reimbursement Amount Requested]]</f>
        <v>0</v>
      </c>
      <c r="H76" s="52"/>
    </row>
    <row r="77" spans="1:8" ht="17.25" x14ac:dyDescent="0.3">
      <c r="A77" s="59" t="s">
        <v>142</v>
      </c>
      <c r="B77" s="60"/>
      <c r="C77" s="60"/>
      <c r="D77" s="60"/>
      <c r="E77" s="60"/>
      <c r="F77" s="60"/>
      <c r="G77" s="60"/>
      <c r="H77" s="52"/>
    </row>
    <row r="78" spans="1:8" x14ac:dyDescent="0.3">
      <c r="A78" s="61" t="s">
        <v>188</v>
      </c>
      <c r="B78" s="61"/>
      <c r="C78" s="61"/>
      <c r="D78" s="61"/>
      <c r="E78" s="61"/>
      <c r="F78" s="61"/>
      <c r="G78" s="61"/>
      <c r="H78" s="52"/>
    </row>
    <row r="79" spans="1:8"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 of hours])</f>
        <v>0</v>
      </c>
      <c r="D86" s="35">
        <f>SUM(Table1326781011['# of people reached])</f>
        <v>0</v>
      </c>
      <c r="E86" s="35">
        <f>SUM(Table1326781011['# of participants])</f>
        <v>0</v>
      </c>
      <c r="F86" s="35">
        <f>SUBTOTAL(109,Table1326781011['# of items handed out])</f>
        <v>0</v>
      </c>
      <c r="G86" s="37">
        <f>SUBTOTAL(109,Table1326781011[Reimbursement Amount Requested])</f>
        <v>0</v>
      </c>
      <c r="H86" s="52"/>
    </row>
    <row r="87" spans="1:8" x14ac:dyDescent="0.3">
      <c r="H87" s="52"/>
    </row>
    <row r="88" spans="1:8" ht="26.25" x14ac:dyDescent="0.45">
      <c r="A88" s="56" t="s">
        <v>189</v>
      </c>
      <c r="B88" s="57"/>
      <c r="C88" s="57"/>
      <c r="D88" s="57"/>
      <c r="E88" s="57"/>
      <c r="F88" s="58"/>
      <c r="G88" s="36">
        <f>Table132678101112[[#Totals],[Reimbursement Amount Requested]]</f>
        <v>0</v>
      </c>
      <c r="H88" s="52"/>
    </row>
    <row r="89" spans="1:8" ht="17.25" x14ac:dyDescent="0.3">
      <c r="A89" s="59" t="s">
        <v>190</v>
      </c>
      <c r="B89" s="60"/>
      <c r="C89" s="60"/>
      <c r="D89" s="60"/>
      <c r="E89" s="60"/>
      <c r="F89" s="60"/>
      <c r="G89" s="60"/>
      <c r="H89" s="52"/>
    </row>
    <row r="90" spans="1:8" x14ac:dyDescent="0.3">
      <c r="A90" s="61" t="s">
        <v>191</v>
      </c>
      <c r="B90" s="61"/>
      <c r="C90" s="61"/>
      <c r="D90" s="61"/>
      <c r="E90" s="61"/>
      <c r="F90" s="61"/>
      <c r="G90" s="61"/>
      <c r="H90" s="52"/>
    </row>
    <row r="91" spans="1:8"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 of hours])</f>
        <v>0</v>
      </c>
      <c r="D98" s="35">
        <f>SUM(Table132678101112['# of people reached])</f>
        <v>0</v>
      </c>
      <c r="E98" s="35">
        <f>SUM(Table132678101112['# of participants])</f>
        <v>0</v>
      </c>
      <c r="F98" s="35">
        <f>SUBTOTAL(109,Table132678101112['# of items handed out])</f>
        <v>0</v>
      </c>
      <c r="G98" s="37">
        <f>SUBTOTAL(109,Table132678101112[Reimbursement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6:G17"/>
    <mergeCell ref="A3:G3"/>
    <mergeCell ref="A4:G5"/>
    <mergeCell ref="A2:F2"/>
    <mergeCell ref="A14:F14"/>
    <mergeCell ref="A15:G15"/>
    <mergeCell ref="A66:G67"/>
    <mergeCell ref="A31:F31"/>
    <mergeCell ref="A32:G32"/>
    <mergeCell ref="A33:G34"/>
    <mergeCell ref="A43:F43"/>
    <mergeCell ref="A44:G44"/>
    <mergeCell ref="A45:G46"/>
    <mergeCell ref="A55:F55"/>
    <mergeCell ref="A56:G56"/>
    <mergeCell ref="A57:G58"/>
    <mergeCell ref="A64:F64"/>
    <mergeCell ref="A65:G65"/>
    <mergeCell ref="A100:F100"/>
    <mergeCell ref="A76:F76"/>
    <mergeCell ref="A77:G77"/>
    <mergeCell ref="A78:G79"/>
    <mergeCell ref="A88:F88"/>
    <mergeCell ref="A89:G89"/>
    <mergeCell ref="A90:G91"/>
  </mergeCells>
  <dataValidations count="1">
    <dataValidation type="list" allowBlank="1" showInputMessage="1" sqref="H7:H11 H19:H28 H36:H40 H48:H52 H60:H61 H69:H73 H81:H85 H93:H97" xr:uid="{62498B56-BAC4-4A53-AAE1-372337DD7B21}">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EDEC4563-79DD-4A2C-8ADF-589B5A2BE794}">
          <x14:formula1>
            <xm:f>Activities!$A$4:$A$27</xm:f>
          </x14:formula1>
          <xm:sqref>A7:A11</xm:sqref>
        </x14:dataValidation>
        <x14:dataValidation type="list" allowBlank="1" showInputMessage="1" showErrorMessage="1" xr:uid="{42E35910-9BB0-4EE1-9A3E-87608343686B}">
          <x14:formula1>
            <xm:f>Activities!$A$49:$A$59</xm:f>
          </x14:formula1>
          <xm:sqref>A36:A40</xm:sqref>
        </x14:dataValidation>
        <x14:dataValidation type="list" allowBlank="1" showInputMessage="1" showErrorMessage="1" xr:uid="{85F55013-5D02-45A1-A235-1A215C7ED4C7}">
          <x14:formula1>
            <xm:f>Activities!$A$30:$A$46</xm:f>
          </x14:formula1>
          <xm:sqref>A19:A28</xm:sqref>
        </x14:dataValidation>
        <x14:dataValidation type="list" allowBlank="1" showInputMessage="1" showErrorMessage="1" xr:uid="{A9582995-9BBE-4045-8C21-7F18505444B3}">
          <x14:formula1>
            <xm:f>Activities!$A$87</xm:f>
          </x14:formula1>
          <xm:sqref>A60:A61</xm:sqref>
        </x14:dataValidation>
        <x14:dataValidation type="list" allowBlank="1" showInputMessage="1" showErrorMessage="1" xr:uid="{8E066230-561A-4947-B0DB-797B501F4DC3}">
          <x14:formula1>
            <xm:f>Activities!$A$90:$A$100</xm:f>
          </x14:formula1>
          <xm:sqref>A69:A73</xm:sqref>
        </x14:dataValidation>
        <x14:dataValidation type="list" allowBlank="1" showInputMessage="1" showErrorMessage="1" xr:uid="{84DD9A5C-C640-42F5-80A6-E3F4F500801F}">
          <x14:formula1>
            <xm:f>Activities!$A$103:$A$109</xm:f>
          </x14:formula1>
          <xm:sqref>A81:A85</xm:sqref>
        </x14:dataValidation>
        <x14:dataValidation type="list" allowBlank="1" showInputMessage="1" showErrorMessage="1" xr:uid="{4020D9EA-3D45-4C9E-8521-0E3337C0C5D9}">
          <x14:formula1>
            <xm:f>Activities!$A$112:$A$126</xm:f>
          </x14:formula1>
          <xm:sqref>A93:A97</xm:sqref>
        </x14:dataValidation>
        <x14:dataValidation type="list" allowBlank="1" showInputMessage="1" showErrorMessage="1" xr:uid="{01571294-9142-4373-A836-F40F6E60C359}">
          <x14:formula1>
            <xm:f>Activities!$A$62:$A$84</xm:f>
          </x14:formula1>
          <xm:sqref>A49:A52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D6C0-0869-499B-A89D-EBDF73A15118}">
  <sheetPr>
    <tabColor rgb="FF0E406A"/>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t="s">
        <v>241</v>
      </c>
    </row>
    <row r="2" spans="1:8" ht="26.25" x14ac:dyDescent="0.45">
      <c r="A2" s="56" t="s">
        <v>132</v>
      </c>
      <c r="B2" s="57"/>
      <c r="C2" s="57"/>
      <c r="D2" s="57"/>
      <c r="E2" s="57"/>
      <c r="F2" s="58"/>
      <c r="G2" s="36">
        <f>Table132442[[#Totals],[Reimbursement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SUM(Table132442['# of hours])</f>
        <v>0</v>
      </c>
      <c r="D12" s="35">
        <f>SUM(Table132442['# of people reached])</f>
        <v>0</v>
      </c>
      <c r="E12" s="35">
        <f>SUM(Table132442['# of participants])</f>
        <v>0</v>
      </c>
      <c r="F12" s="35">
        <f>SUBTOTAL(109,Table132442['# of items handed out])</f>
        <v>0</v>
      </c>
      <c r="G12" s="37">
        <f>SUBTOTAL(109,Table132442[Reimbursement Amount Requested])</f>
        <v>0</v>
      </c>
      <c r="H12" s="52"/>
    </row>
    <row r="13" spans="1:8" x14ac:dyDescent="0.3">
      <c r="H13" s="52"/>
    </row>
    <row r="14" spans="1:8" ht="26.25" x14ac:dyDescent="0.45">
      <c r="A14" s="56" t="s">
        <v>140</v>
      </c>
      <c r="B14" s="57"/>
      <c r="C14" s="57"/>
      <c r="D14" s="57"/>
      <c r="E14" s="57"/>
      <c r="F14" s="58"/>
      <c r="G14" s="36">
        <f>Table1326443[[#Totals],[Reimbursement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SUM(Table1326443['# of hours])</f>
        <v>0</v>
      </c>
      <c r="D29" s="35">
        <f>SUM(Table1326443['# of people reached])</f>
        <v>0</v>
      </c>
      <c r="E29" s="35">
        <f>SUM(Table1326443['# of participants])</f>
        <v>0</v>
      </c>
      <c r="F29" s="35">
        <f>SUBTOTAL(109,Table1326443['# of items handed out])</f>
        <v>0</v>
      </c>
      <c r="G29" s="37">
        <f>SUBTOTAL(109,Table1326443[Reimbursement Amount Requested])</f>
        <v>0</v>
      </c>
      <c r="H29" s="52"/>
    </row>
    <row r="30" spans="1:8" x14ac:dyDescent="0.3">
      <c r="H30" s="52"/>
    </row>
    <row r="31" spans="1:8" ht="26.25" x14ac:dyDescent="0.45">
      <c r="A31" s="56" t="s">
        <v>143</v>
      </c>
      <c r="B31" s="57"/>
      <c r="C31" s="57"/>
      <c r="D31" s="57"/>
      <c r="E31" s="57"/>
      <c r="F31" s="58"/>
      <c r="G31" s="36">
        <f>Table13267444[[#Totals],[Reimbursement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SUM(Table13267444['# of hours])</f>
        <v>0</v>
      </c>
      <c r="D41" s="35">
        <f>SUM(Table13267444['# of people reached])</f>
        <v>0</v>
      </c>
      <c r="E41" s="35">
        <f>SUM(Table13267444['# of participants])</f>
        <v>0</v>
      </c>
      <c r="F41" s="35">
        <f>SUBTOTAL(109,Table13267444['# of items handed out])</f>
        <v>0</v>
      </c>
      <c r="G41" s="37">
        <f>SUBTOTAL(109,Table13267444[Reimbursement Amount Requested])</f>
        <v>0</v>
      </c>
      <c r="H41" s="52"/>
    </row>
    <row r="42" spans="1:8" x14ac:dyDescent="0.3">
      <c r="H42" s="52"/>
    </row>
    <row r="43" spans="1:8" ht="26.25" x14ac:dyDescent="0.45">
      <c r="A43" s="56" t="s">
        <v>146</v>
      </c>
      <c r="B43" s="57"/>
      <c r="C43" s="57"/>
      <c r="D43" s="57"/>
      <c r="E43" s="57"/>
      <c r="F43" s="58"/>
      <c r="G43" s="36">
        <f>Table132678445[[#Totals],[Reimbursement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SUM(Table132678445['# of hours])</f>
        <v>0</v>
      </c>
      <c r="D53" s="35">
        <f>SUM(Table132678445['# of people reached])</f>
        <v>0</v>
      </c>
      <c r="E53" s="35">
        <f>SUM(Table132678445['# of participants])</f>
        <v>0</v>
      </c>
      <c r="F53" s="35">
        <f>SUBTOTAL(109,Table132678445['# of items handed out])</f>
        <v>0</v>
      </c>
      <c r="G53" s="37">
        <f>SUBTOTAL(109,Table132678445[Reimbursement Amount Requested])</f>
        <v>0</v>
      </c>
      <c r="H53" s="52"/>
    </row>
    <row r="54" spans="1:8" x14ac:dyDescent="0.3">
      <c r="H54" s="52"/>
    </row>
    <row r="55" spans="1:8" ht="26.25" x14ac:dyDescent="0.45">
      <c r="A55" s="56" t="s">
        <v>181</v>
      </c>
      <c r="B55" s="57"/>
      <c r="C55" s="57"/>
      <c r="D55" s="57"/>
      <c r="E55" s="57"/>
      <c r="F55" s="58"/>
      <c r="G55" s="36">
        <f>Table1326789446[[#Totals],[Reimbursement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SUM(Table1326789446['# of hours])</f>
        <v>0</v>
      </c>
      <c r="D62" s="35">
        <f>SUM(Table1326789446['# of people reached])</f>
        <v>0</v>
      </c>
      <c r="E62" s="35">
        <f>SUM(Table1326789446['# of participants])</f>
        <v>0</v>
      </c>
      <c r="F62" s="35">
        <f>SUBTOTAL(109,Table1326789446['# of items handed out])</f>
        <v>0</v>
      </c>
      <c r="G62" s="31">
        <f>SUBTOTAL(109,Table1326789446[Reimbursement Amount Requested])</f>
        <v>0</v>
      </c>
      <c r="H62" s="52"/>
    </row>
    <row r="63" spans="1:8" x14ac:dyDescent="0.3">
      <c r="H63" s="52"/>
    </row>
    <row r="64" spans="1:8" ht="26.25" x14ac:dyDescent="0.45">
      <c r="A64" s="56" t="s">
        <v>186</v>
      </c>
      <c r="B64" s="57"/>
      <c r="C64" s="57"/>
      <c r="D64" s="57"/>
      <c r="E64" s="57"/>
      <c r="F64" s="58"/>
      <c r="G64" s="36">
        <f>Table13267810447[[#Totals],[Reimbursement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SUM(Table13267810447['# of hours])</f>
        <v>0</v>
      </c>
      <c r="D74" s="35">
        <f>SUM(Table13267810447['# of people reached])</f>
        <v>0</v>
      </c>
      <c r="E74" s="35">
        <f>SUM(Table13267810447['# of participants])</f>
        <v>0</v>
      </c>
      <c r="F74" s="35">
        <f>SUBTOTAL(109,Table13267810447['# of items handed out])</f>
        <v>0</v>
      </c>
      <c r="G74" s="37">
        <f>SUBTOTAL(109,Table13267810447[Reimbursement Amount Requested])</f>
        <v>0</v>
      </c>
      <c r="H74" s="52"/>
    </row>
    <row r="75" spans="1:8" x14ac:dyDescent="0.3">
      <c r="H75" s="52"/>
    </row>
    <row r="76" spans="1:8" ht="26.25" x14ac:dyDescent="0.45">
      <c r="A76" s="56" t="s">
        <v>187</v>
      </c>
      <c r="B76" s="57"/>
      <c r="C76" s="57"/>
      <c r="D76" s="57"/>
      <c r="E76" s="57"/>
      <c r="F76" s="58"/>
      <c r="G76" s="36">
        <f>Table1326781011448[[#Totals],[Reimbursement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SUM(Table1326781011448['# of hours])</f>
        <v>0</v>
      </c>
      <c r="D86" s="35">
        <f>SUM(Table1326781011448['# of people reached])</f>
        <v>0</v>
      </c>
      <c r="E86" s="35">
        <f>SUM(Table1326781011448['# of participants])</f>
        <v>0</v>
      </c>
      <c r="F86" s="35">
        <f>SUBTOTAL(109,Table1326781011448['# of items handed out])</f>
        <v>0</v>
      </c>
      <c r="G86" s="37">
        <f>SUBTOTAL(109,Table1326781011448[Reimbursement Amount Requested])</f>
        <v>0</v>
      </c>
      <c r="H86" s="52"/>
    </row>
    <row r="87" spans="1:8" x14ac:dyDescent="0.3">
      <c r="H87" s="52"/>
    </row>
    <row r="88" spans="1:8" ht="26.25" x14ac:dyDescent="0.45">
      <c r="A88" s="56" t="s">
        <v>189</v>
      </c>
      <c r="B88" s="57"/>
      <c r="C88" s="57"/>
      <c r="D88" s="57"/>
      <c r="E88" s="57"/>
      <c r="F88" s="58"/>
      <c r="G88" s="36">
        <f>Table132678101112449[[#Totals],[Reimbursement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SUM(Table132678101112449['# of hours])</f>
        <v>0</v>
      </c>
      <c r="D98" s="35">
        <f>SUM(Table132678101112449['# of people reached])</f>
        <v>0</v>
      </c>
      <c r="E98" s="35">
        <f>SUM(Table132678101112449['# of participants])</f>
        <v>0</v>
      </c>
      <c r="F98" s="35">
        <f>SUBTOTAL(109,Table132678101112449['# of items handed out])</f>
        <v>0</v>
      </c>
      <c r="G98" s="37">
        <f>SUBTOTAL(109,Table132678101112449[Reimbursement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C8C3233C-F857-4EB4-80D6-3B47DB215BF6}">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3042877D-7979-4774-8E86-8308D8CDFE99}">
          <x14:formula1>
            <xm:f>Activities!$A$62:$A$84</xm:f>
          </x14:formula1>
          <xm:sqref>A49:A52</xm:sqref>
        </x14:dataValidation>
        <x14:dataValidation type="list" allowBlank="1" showInputMessage="1" showErrorMessage="1" xr:uid="{774D96EE-2091-4408-81D1-0AD56E7FFBCE}">
          <x14:formula1>
            <xm:f>Activities!$A$112:$A$126</xm:f>
          </x14:formula1>
          <xm:sqref>A93:A97</xm:sqref>
        </x14:dataValidation>
        <x14:dataValidation type="list" allowBlank="1" showInputMessage="1" showErrorMessage="1" xr:uid="{DE3B4E34-BCE3-45AD-BCCB-5A2F4BDB7781}">
          <x14:formula1>
            <xm:f>Activities!$A$103:$A$109</xm:f>
          </x14:formula1>
          <xm:sqref>A81:A85</xm:sqref>
        </x14:dataValidation>
        <x14:dataValidation type="list" allowBlank="1" showInputMessage="1" showErrorMessage="1" xr:uid="{9C13A045-F305-4EC0-8000-9F94BFD673A4}">
          <x14:formula1>
            <xm:f>Activities!$A$90:$A$100</xm:f>
          </x14:formula1>
          <xm:sqref>A69:A73</xm:sqref>
        </x14:dataValidation>
        <x14:dataValidation type="list" allowBlank="1" showInputMessage="1" showErrorMessage="1" xr:uid="{89CD976F-B51E-4947-8A57-38B2CF7E0DAD}">
          <x14:formula1>
            <xm:f>Activities!$A$87</xm:f>
          </x14:formula1>
          <xm:sqref>A60:A61</xm:sqref>
        </x14:dataValidation>
        <x14:dataValidation type="list" allowBlank="1" showInputMessage="1" showErrorMessage="1" xr:uid="{8679ED4D-7F87-453E-9798-912C67A21840}">
          <x14:formula1>
            <xm:f>Activities!$A$30:$A$46</xm:f>
          </x14:formula1>
          <xm:sqref>A19:A28</xm:sqref>
        </x14:dataValidation>
        <x14:dataValidation type="list" allowBlank="1" showInputMessage="1" showErrorMessage="1" xr:uid="{1FBFCFB1-E4CA-4E44-A2FC-B969C8637D39}">
          <x14:formula1>
            <xm:f>Activities!$A$49:$A$59</xm:f>
          </x14:formula1>
          <xm:sqref>A36:A40</xm:sqref>
        </x14:dataValidation>
        <x14:dataValidation type="list" allowBlank="1" showInputMessage="1" showErrorMessage="1" xr:uid="{6330F2FB-30AF-446E-BB90-025CCD253C00}">
          <x14:formula1>
            <xm:f>Activities!$A$4:$A$27</xm:f>
          </x14:formula1>
          <xm:sqref>A7:A11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B56A-2F9B-4710-B71A-91E3C626E68C}">
  <sheetPr>
    <tabColor rgb="FF0E406A"/>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t="s">
        <v>242</v>
      </c>
    </row>
    <row r="2" spans="1:8" ht="26.25" x14ac:dyDescent="0.45">
      <c r="A2" s="56" t="s">
        <v>132</v>
      </c>
      <c r="B2" s="57"/>
      <c r="C2" s="57"/>
      <c r="D2" s="57"/>
      <c r="E2" s="57"/>
      <c r="F2" s="58"/>
      <c r="G2" s="36">
        <f>Table132450[[#Totals],[Reimbursement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SUM(Table132450['# of hours])</f>
        <v>0</v>
      </c>
      <c r="D12" s="35">
        <f>SUM(Table132450['# of people reached])</f>
        <v>0</v>
      </c>
      <c r="E12" s="35">
        <f>SUM(Table132450['# of participants])</f>
        <v>0</v>
      </c>
      <c r="F12" s="35">
        <f>SUBTOTAL(109,Table132450['# of items handed out])</f>
        <v>0</v>
      </c>
      <c r="G12" s="37">
        <f>SUBTOTAL(109,Table132450[Reimbursement Amount Requested])</f>
        <v>0</v>
      </c>
      <c r="H12" s="52"/>
    </row>
    <row r="13" spans="1:8" x14ac:dyDescent="0.3">
      <c r="H13" s="52"/>
    </row>
    <row r="14" spans="1:8" ht="26.25" x14ac:dyDescent="0.45">
      <c r="A14" s="56" t="s">
        <v>140</v>
      </c>
      <c r="B14" s="57"/>
      <c r="C14" s="57"/>
      <c r="D14" s="57"/>
      <c r="E14" s="57"/>
      <c r="F14" s="58"/>
      <c r="G14" s="36">
        <f>Table1326451[[#Totals],[Reimbursement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SUM(Table1326451['# of hours])</f>
        <v>0</v>
      </c>
      <c r="D29" s="35">
        <f>SUM(Table1326451['# of people reached])</f>
        <v>0</v>
      </c>
      <c r="E29" s="35">
        <f>SUM(Table1326451['# of participants])</f>
        <v>0</v>
      </c>
      <c r="F29" s="35">
        <f>SUBTOTAL(109,Table1326451['# of items handed out])</f>
        <v>0</v>
      </c>
      <c r="G29" s="37">
        <f>SUBTOTAL(109,Table1326451[Reimbursement Amount Requested])</f>
        <v>0</v>
      </c>
      <c r="H29" s="52"/>
    </row>
    <row r="30" spans="1:8" x14ac:dyDescent="0.3">
      <c r="H30" s="52"/>
    </row>
    <row r="31" spans="1:8" ht="26.25" x14ac:dyDescent="0.45">
      <c r="A31" s="56" t="s">
        <v>143</v>
      </c>
      <c r="B31" s="57"/>
      <c r="C31" s="57"/>
      <c r="D31" s="57"/>
      <c r="E31" s="57"/>
      <c r="F31" s="58"/>
      <c r="G31" s="36">
        <f>Table13267452[[#Totals],[Reimbursement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SUM(Table13267452['# of hours])</f>
        <v>0</v>
      </c>
      <c r="D41" s="35">
        <f>SUM(Table13267452['# of people reached])</f>
        <v>0</v>
      </c>
      <c r="E41" s="35">
        <f>SUM(Table13267452['# of participants])</f>
        <v>0</v>
      </c>
      <c r="F41" s="35">
        <f>SUBTOTAL(109,Table13267452['# of items handed out])</f>
        <v>0</v>
      </c>
      <c r="G41" s="37">
        <f>SUBTOTAL(109,Table13267452[Reimbursement Amount Requested])</f>
        <v>0</v>
      </c>
      <c r="H41" s="52"/>
    </row>
    <row r="42" spans="1:8" x14ac:dyDescent="0.3">
      <c r="H42" s="52"/>
    </row>
    <row r="43" spans="1:8" ht="26.25" x14ac:dyDescent="0.45">
      <c r="A43" s="56" t="s">
        <v>146</v>
      </c>
      <c r="B43" s="57"/>
      <c r="C43" s="57"/>
      <c r="D43" s="57"/>
      <c r="E43" s="57"/>
      <c r="F43" s="58"/>
      <c r="G43" s="36">
        <f>Table132678453[[#Totals],[Reimbursement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SUM(Table132678453['# of hours])</f>
        <v>0</v>
      </c>
      <c r="D53" s="35">
        <f>SUM(Table132678453['# of people reached])</f>
        <v>0</v>
      </c>
      <c r="E53" s="35">
        <f>SUM(Table132678453['# of participants])</f>
        <v>0</v>
      </c>
      <c r="F53" s="35">
        <f>SUBTOTAL(109,Table132678453['# of items handed out])</f>
        <v>0</v>
      </c>
      <c r="G53" s="37">
        <f>SUBTOTAL(109,Table132678453[Reimbursement Amount Requested])</f>
        <v>0</v>
      </c>
      <c r="H53" s="52"/>
    </row>
    <row r="54" spans="1:8" x14ac:dyDescent="0.3">
      <c r="H54" s="52"/>
    </row>
    <row r="55" spans="1:8" ht="26.25" x14ac:dyDescent="0.45">
      <c r="A55" s="56" t="s">
        <v>181</v>
      </c>
      <c r="B55" s="57"/>
      <c r="C55" s="57"/>
      <c r="D55" s="57"/>
      <c r="E55" s="57"/>
      <c r="F55" s="58"/>
      <c r="G55" s="36">
        <f>Table1326789454[[#Totals],[Reimbursement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SUM(Table1326789454['# of hours])</f>
        <v>0</v>
      </c>
      <c r="D62" s="35">
        <f>SUM(Table1326789454['# of people reached])</f>
        <v>0</v>
      </c>
      <c r="E62" s="35">
        <f>SUM(Table1326789454['# of participants])</f>
        <v>0</v>
      </c>
      <c r="F62" s="35">
        <f>SUBTOTAL(109,Table1326789454['# of items handed out])</f>
        <v>0</v>
      </c>
      <c r="G62" s="31">
        <f>SUBTOTAL(109,Table1326789454[Reimbursement Amount Requested])</f>
        <v>0</v>
      </c>
      <c r="H62" s="52"/>
    </row>
    <row r="63" spans="1:8" x14ac:dyDescent="0.3">
      <c r="H63" s="52"/>
    </row>
    <row r="64" spans="1:8" ht="26.25" x14ac:dyDescent="0.45">
      <c r="A64" s="56" t="s">
        <v>186</v>
      </c>
      <c r="B64" s="57"/>
      <c r="C64" s="57"/>
      <c r="D64" s="57"/>
      <c r="E64" s="57"/>
      <c r="F64" s="58"/>
      <c r="G64" s="36">
        <f>Table13267810455[[#Totals],[Reimbursement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SUM(Table13267810455['# of hours])</f>
        <v>0</v>
      </c>
      <c r="D74" s="35">
        <f>SUM(Table13267810455['# of people reached])</f>
        <v>0</v>
      </c>
      <c r="E74" s="35">
        <f>SUM(Table13267810455['# of participants])</f>
        <v>0</v>
      </c>
      <c r="F74" s="35">
        <f>SUBTOTAL(109,Table13267810455['# of items handed out])</f>
        <v>0</v>
      </c>
      <c r="G74" s="37">
        <f>SUBTOTAL(109,Table13267810455[Reimbursement Amount Requested])</f>
        <v>0</v>
      </c>
      <c r="H74" s="52"/>
    </row>
    <row r="75" spans="1:8" x14ac:dyDescent="0.3">
      <c r="H75" s="52"/>
    </row>
    <row r="76" spans="1:8" ht="26.25" x14ac:dyDescent="0.45">
      <c r="A76" s="56" t="s">
        <v>187</v>
      </c>
      <c r="B76" s="57"/>
      <c r="C76" s="57"/>
      <c r="D76" s="57"/>
      <c r="E76" s="57"/>
      <c r="F76" s="58"/>
      <c r="G76" s="36">
        <f>Table1326781011456[[#Totals],[Reimbursement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SUM(Table1326781011456['# of hours])</f>
        <v>0</v>
      </c>
      <c r="D86" s="35">
        <f>SUM(Table1326781011456['# of people reached])</f>
        <v>0</v>
      </c>
      <c r="E86" s="35">
        <f>SUM(Table1326781011456['# of participants])</f>
        <v>0</v>
      </c>
      <c r="F86" s="35">
        <f>SUBTOTAL(109,Table1326781011456['# of items handed out])</f>
        <v>0</v>
      </c>
      <c r="G86" s="37">
        <f>SUBTOTAL(109,Table1326781011456[Reimbursement Amount Requested])</f>
        <v>0</v>
      </c>
      <c r="H86" s="52"/>
    </row>
    <row r="87" spans="1:8" x14ac:dyDescent="0.3">
      <c r="H87" s="52"/>
    </row>
    <row r="88" spans="1:8" ht="26.25" x14ac:dyDescent="0.45">
      <c r="A88" s="56" t="s">
        <v>189</v>
      </c>
      <c r="B88" s="57"/>
      <c r="C88" s="57"/>
      <c r="D88" s="57"/>
      <c r="E88" s="57"/>
      <c r="F88" s="58"/>
      <c r="G88" s="36">
        <f>Table132678101112457[[#Totals],[Reimbursement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SUM(Table132678101112457['# of hours])</f>
        <v>0</v>
      </c>
      <c r="D98" s="35">
        <f>SUM(Table132678101112457['# of people reached])</f>
        <v>0</v>
      </c>
      <c r="E98" s="35">
        <f>SUM(Table132678101112457['# of participants])</f>
        <v>0</v>
      </c>
      <c r="F98" s="35">
        <f>SUBTOTAL(109,Table132678101112457['# of items handed out])</f>
        <v>0</v>
      </c>
      <c r="G98" s="37">
        <f>SUBTOTAL(109,Table132678101112457[Reimbursement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67CE2EEB-BB1D-4837-BB97-B8D462C5AE0C}">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6602C917-8D14-4DC9-90F3-9A590027CC09}">
          <x14:formula1>
            <xm:f>Activities!$A$4:$A$27</xm:f>
          </x14:formula1>
          <xm:sqref>A7:A11</xm:sqref>
        </x14:dataValidation>
        <x14:dataValidation type="list" allowBlank="1" showInputMessage="1" showErrorMessage="1" xr:uid="{3A9DF303-E96E-4D68-A9E2-0FFCE12AB017}">
          <x14:formula1>
            <xm:f>Activities!$A$49:$A$59</xm:f>
          </x14:formula1>
          <xm:sqref>A36:A40</xm:sqref>
        </x14:dataValidation>
        <x14:dataValidation type="list" allowBlank="1" showInputMessage="1" showErrorMessage="1" xr:uid="{4D96C9D5-826B-4142-863F-5ACDB95F760B}">
          <x14:formula1>
            <xm:f>Activities!$A$30:$A$46</xm:f>
          </x14:formula1>
          <xm:sqref>A19:A28</xm:sqref>
        </x14:dataValidation>
        <x14:dataValidation type="list" allowBlank="1" showInputMessage="1" showErrorMessage="1" xr:uid="{BC780FC8-577B-4F71-A58A-8508DA63B9F2}">
          <x14:formula1>
            <xm:f>Activities!$A$87</xm:f>
          </x14:formula1>
          <xm:sqref>A60:A61</xm:sqref>
        </x14:dataValidation>
        <x14:dataValidation type="list" allowBlank="1" showInputMessage="1" showErrorMessage="1" xr:uid="{B6EDDC6E-D451-4127-A2EA-55D2B63302F9}">
          <x14:formula1>
            <xm:f>Activities!$A$90:$A$100</xm:f>
          </x14:formula1>
          <xm:sqref>A69:A73</xm:sqref>
        </x14:dataValidation>
        <x14:dataValidation type="list" allowBlank="1" showInputMessage="1" showErrorMessage="1" xr:uid="{2396834F-3D13-4707-BE0A-544B3CF29B7D}">
          <x14:formula1>
            <xm:f>Activities!$A$103:$A$109</xm:f>
          </x14:formula1>
          <xm:sqref>A81:A85</xm:sqref>
        </x14:dataValidation>
        <x14:dataValidation type="list" allowBlank="1" showInputMessage="1" showErrorMessage="1" xr:uid="{53B1F47F-7178-4474-99CC-42281F03692F}">
          <x14:formula1>
            <xm:f>Activities!$A$112:$A$126</xm:f>
          </x14:formula1>
          <xm:sqref>A93:A97</xm:sqref>
        </x14:dataValidation>
        <x14:dataValidation type="list" allowBlank="1" showInputMessage="1" showErrorMessage="1" xr:uid="{DF82B61A-D553-4E62-BB6F-F578B4490B50}">
          <x14:formula1>
            <xm:f>Activities!$A$62:$A$84</xm:f>
          </x14:formula1>
          <xm:sqref>A49:A52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E209-84C8-496B-87F8-D3CDDE5CBE51}">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Table132474[[#Totals],[Reimbursement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SUM(Table132474['# of hours])</f>
        <v>0</v>
      </c>
      <c r="D12" s="35">
        <f>SUM(Table132474['# of people reached])</f>
        <v>0</v>
      </c>
      <c r="E12" s="35">
        <f>SUM(Table132474['# of participants])</f>
        <v>0</v>
      </c>
      <c r="F12" s="35">
        <f>SUBTOTAL(109,Table132474['# of items handed out])</f>
        <v>0</v>
      </c>
      <c r="G12" s="37">
        <f>SUBTOTAL(109,Table132474[Reimbursement Amount Requested])</f>
        <v>0</v>
      </c>
      <c r="H12" s="52"/>
    </row>
    <row r="13" spans="1:8" x14ac:dyDescent="0.3">
      <c r="H13" s="52"/>
    </row>
    <row r="14" spans="1:8" ht="26.25" x14ac:dyDescent="0.45">
      <c r="A14" s="56" t="s">
        <v>140</v>
      </c>
      <c r="B14" s="57"/>
      <c r="C14" s="57"/>
      <c r="D14" s="57"/>
      <c r="E14" s="57"/>
      <c r="F14" s="58"/>
      <c r="G14" s="36">
        <f>Table1326475[[#Totals],[Reimbursement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SUM(Table1326475['# of hours])</f>
        <v>0</v>
      </c>
      <c r="D29" s="35">
        <f>SUM(Table1326475['# of people reached])</f>
        <v>0</v>
      </c>
      <c r="E29" s="35">
        <f>SUM(Table1326475['# of participants])</f>
        <v>0</v>
      </c>
      <c r="F29" s="35">
        <f>SUBTOTAL(109,Table1326475['# of items handed out])</f>
        <v>0</v>
      </c>
      <c r="G29" s="37">
        <f>SUBTOTAL(109,Table1326475[Reimbursement Amount Requested])</f>
        <v>0</v>
      </c>
      <c r="H29" s="52"/>
    </row>
    <row r="30" spans="1:8" x14ac:dyDescent="0.3">
      <c r="H30" s="52"/>
    </row>
    <row r="31" spans="1:8" ht="26.25" x14ac:dyDescent="0.45">
      <c r="A31" s="56" t="s">
        <v>143</v>
      </c>
      <c r="B31" s="57"/>
      <c r="C31" s="57"/>
      <c r="D31" s="57"/>
      <c r="E31" s="57"/>
      <c r="F31" s="58"/>
      <c r="G31" s="36">
        <f>Table13267476[[#Totals],[Reimbursement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SUM(Table13267476['# of hours])</f>
        <v>0</v>
      </c>
      <c r="D41" s="35">
        <f>SUM(Table13267476['# of people reached])</f>
        <v>0</v>
      </c>
      <c r="E41" s="35">
        <f>SUM(Table13267476['# of participants])</f>
        <v>0</v>
      </c>
      <c r="F41" s="35">
        <f>SUBTOTAL(109,Table13267476['# of items handed out])</f>
        <v>0</v>
      </c>
      <c r="G41" s="37">
        <f>SUBTOTAL(109,Table13267476[Reimbursement Amount Requested])</f>
        <v>0</v>
      </c>
      <c r="H41" s="52"/>
    </row>
    <row r="42" spans="1:8" x14ac:dyDescent="0.3">
      <c r="H42" s="52"/>
    </row>
    <row r="43" spans="1:8" ht="26.25" x14ac:dyDescent="0.45">
      <c r="A43" s="56" t="s">
        <v>146</v>
      </c>
      <c r="B43" s="57"/>
      <c r="C43" s="57"/>
      <c r="D43" s="57"/>
      <c r="E43" s="57"/>
      <c r="F43" s="58"/>
      <c r="G43" s="36">
        <f>Table132678477[[#Totals],[Reimbursement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SUM(Table132678477['# of hours])</f>
        <v>0</v>
      </c>
      <c r="D53" s="35">
        <f>SUM(Table132678477['# of people reached])</f>
        <v>0</v>
      </c>
      <c r="E53" s="35">
        <f>SUM(Table132678477['# of participants])</f>
        <v>0</v>
      </c>
      <c r="F53" s="35">
        <f>SUBTOTAL(109,Table132678477['# of items handed out])</f>
        <v>0</v>
      </c>
      <c r="G53" s="37">
        <f>SUBTOTAL(109,Table132678477[Reimbursement Amount Requested])</f>
        <v>0</v>
      </c>
      <c r="H53" s="52"/>
    </row>
    <row r="54" spans="1:8" x14ac:dyDescent="0.3">
      <c r="H54" s="52"/>
    </row>
    <row r="55" spans="1:8" ht="26.25" x14ac:dyDescent="0.45">
      <c r="A55" s="56" t="s">
        <v>181</v>
      </c>
      <c r="B55" s="57"/>
      <c r="C55" s="57"/>
      <c r="D55" s="57"/>
      <c r="E55" s="57"/>
      <c r="F55" s="58"/>
      <c r="G55" s="36">
        <f>Table1326789478[[#Totals],[Reimbursement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SUM(Table1326789478['# of hours])</f>
        <v>0</v>
      </c>
      <c r="D62" s="35">
        <f>SUM(Table1326789478['# of people reached])</f>
        <v>0</v>
      </c>
      <c r="E62" s="35">
        <f>SUM(Table1326789478['# of participants])</f>
        <v>0</v>
      </c>
      <c r="F62" s="35">
        <f>SUBTOTAL(109,Table1326789478['# of items handed out])</f>
        <v>0</v>
      </c>
      <c r="G62" s="31">
        <f>SUBTOTAL(109,Table1326789478[Reimbursement Amount Requested])</f>
        <v>0</v>
      </c>
      <c r="H62" s="52"/>
    </row>
    <row r="63" spans="1:8" x14ac:dyDescent="0.3">
      <c r="H63" s="52"/>
    </row>
    <row r="64" spans="1:8" ht="26.25" x14ac:dyDescent="0.45">
      <c r="A64" s="56" t="s">
        <v>186</v>
      </c>
      <c r="B64" s="57"/>
      <c r="C64" s="57"/>
      <c r="D64" s="57"/>
      <c r="E64" s="57"/>
      <c r="F64" s="58"/>
      <c r="G64" s="36">
        <f>Table13267810479[[#Totals],[Reimbursement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SUM(Table13267810479['# of hours])</f>
        <v>0</v>
      </c>
      <c r="D74" s="35">
        <f>SUM(Table13267810479['# of people reached])</f>
        <v>0</v>
      </c>
      <c r="E74" s="35">
        <f>SUM(Table13267810479['# of participants])</f>
        <v>0</v>
      </c>
      <c r="F74" s="35">
        <f>SUBTOTAL(109,Table13267810479['# of items handed out])</f>
        <v>0</v>
      </c>
      <c r="G74" s="37">
        <f>SUBTOTAL(109,Table13267810479[Reimbursement Amount Requested])</f>
        <v>0</v>
      </c>
      <c r="H74" s="52"/>
    </row>
    <row r="75" spans="1:8" x14ac:dyDescent="0.3">
      <c r="H75" s="52"/>
    </row>
    <row r="76" spans="1:8" ht="26.25" x14ac:dyDescent="0.45">
      <c r="A76" s="56" t="s">
        <v>187</v>
      </c>
      <c r="B76" s="57"/>
      <c r="C76" s="57"/>
      <c r="D76" s="57"/>
      <c r="E76" s="57"/>
      <c r="F76" s="58"/>
      <c r="G76" s="36">
        <f>Table1326781011480[[#Totals],[Reimbursement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SUM(Table1326781011480['# of hours])</f>
        <v>0</v>
      </c>
      <c r="D86" s="35">
        <f>SUM(Table1326781011480['# of people reached])</f>
        <v>0</v>
      </c>
      <c r="E86" s="35">
        <f>SUM(Table1326781011480['# of participants])</f>
        <v>0</v>
      </c>
      <c r="F86" s="35">
        <f>SUBTOTAL(109,Table1326781011480['# of items handed out])</f>
        <v>0</v>
      </c>
      <c r="G86" s="37">
        <f>SUBTOTAL(109,Table1326781011480[Reimbursement Amount Requested])</f>
        <v>0</v>
      </c>
      <c r="H86" s="52"/>
    </row>
    <row r="87" spans="1:8" x14ac:dyDescent="0.3">
      <c r="H87" s="52"/>
    </row>
    <row r="88" spans="1:8" ht="26.25" x14ac:dyDescent="0.45">
      <c r="A88" s="56" t="s">
        <v>189</v>
      </c>
      <c r="B88" s="57"/>
      <c r="C88" s="57"/>
      <c r="D88" s="57"/>
      <c r="E88" s="57"/>
      <c r="F88" s="58"/>
      <c r="G88" s="36">
        <f>Table132678101112481[[#Totals],[Reimbursement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SUM(Table132678101112481['# of hours])</f>
        <v>0</v>
      </c>
      <c r="D98" s="35">
        <f>SUM(Table132678101112481['# of people reached])</f>
        <v>0</v>
      </c>
      <c r="E98" s="35">
        <f>SUM(Table132678101112481['# of participants])</f>
        <v>0</v>
      </c>
      <c r="F98" s="35">
        <f>SUBTOTAL(109,Table132678101112481['# of items handed out])</f>
        <v>0</v>
      </c>
      <c r="G98" s="37">
        <f>SUBTOTAL(109,Table132678101112481[Reimbursement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8F77BA0C-C509-4E7B-ABC4-5AE89D32FBAC}">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BD363603-A396-4062-B87E-1E99BA9F95B2}">
          <x14:formula1>
            <xm:f>Activities!$A$62:$A$84</xm:f>
          </x14:formula1>
          <xm:sqref>A49:A52</xm:sqref>
        </x14:dataValidation>
        <x14:dataValidation type="list" allowBlank="1" showInputMessage="1" showErrorMessage="1" xr:uid="{55BB9EA0-F920-4A50-8AD1-41D9F6C1B6EE}">
          <x14:formula1>
            <xm:f>Activities!$A$112:$A$126</xm:f>
          </x14:formula1>
          <xm:sqref>A93:A97</xm:sqref>
        </x14:dataValidation>
        <x14:dataValidation type="list" allowBlank="1" showInputMessage="1" showErrorMessage="1" xr:uid="{F40CD2C4-6B82-4F51-BAB7-48ED62A8EDC1}">
          <x14:formula1>
            <xm:f>Activities!$A$103:$A$109</xm:f>
          </x14:formula1>
          <xm:sqref>A81:A85</xm:sqref>
        </x14:dataValidation>
        <x14:dataValidation type="list" allowBlank="1" showInputMessage="1" showErrorMessage="1" xr:uid="{B636D5F9-E5BC-41F9-A375-181339B872EE}">
          <x14:formula1>
            <xm:f>Activities!$A$90:$A$100</xm:f>
          </x14:formula1>
          <xm:sqref>A69:A73</xm:sqref>
        </x14:dataValidation>
        <x14:dataValidation type="list" allowBlank="1" showInputMessage="1" showErrorMessage="1" xr:uid="{F4F8A6B5-81F6-4AB1-8222-4EFA4E2CDBEE}">
          <x14:formula1>
            <xm:f>Activities!$A$87</xm:f>
          </x14:formula1>
          <xm:sqref>A60:A61</xm:sqref>
        </x14:dataValidation>
        <x14:dataValidation type="list" allowBlank="1" showInputMessage="1" showErrorMessage="1" xr:uid="{07B32EB6-CA58-4160-B81B-2627AC8E472C}">
          <x14:formula1>
            <xm:f>Activities!$A$30:$A$46</xm:f>
          </x14:formula1>
          <xm:sqref>A19:A28</xm:sqref>
        </x14:dataValidation>
        <x14:dataValidation type="list" allowBlank="1" showInputMessage="1" showErrorMessage="1" xr:uid="{3A18895F-1CB2-4FAF-9C66-A0F809BCD4B8}">
          <x14:formula1>
            <xm:f>Activities!$A$49:$A$59</xm:f>
          </x14:formula1>
          <xm:sqref>A36:A40</xm:sqref>
        </x14:dataValidation>
        <x14:dataValidation type="list" allowBlank="1" showInputMessage="1" showErrorMessage="1" xr:uid="{E8498ADC-E662-4A1A-8C7F-EF60B99051B9}">
          <x14:formula1>
            <xm:f>Activities!$A$4:$A$27</xm:f>
          </x14:formula1>
          <xm:sqref>A7:A11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4AA8A-5559-41CD-A8CD-3C1F0A7ADB56}">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Table132482[[#Totals],[Reimbursement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SUM(Table132482['# of hours])</f>
        <v>0</v>
      </c>
      <c r="D12" s="35">
        <f>SUM(Table132482['# of people reached])</f>
        <v>0</v>
      </c>
      <c r="E12" s="35">
        <f>SUM(Table132482['# of participants])</f>
        <v>0</v>
      </c>
      <c r="F12" s="35">
        <f>SUBTOTAL(109,Table132482['# of items handed out])</f>
        <v>0</v>
      </c>
      <c r="G12" s="37">
        <f>SUBTOTAL(109,Table132482[Reimbursement Amount Requested])</f>
        <v>0</v>
      </c>
      <c r="H12" s="52"/>
    </row>
    <row r="13" spans="1:8" x14ac:dyDescent="0.3">
      <c r="H13" s="52"/>
    </row>
    <row r="14" spans="1:8" ht="26.25" x14ac:dyDescent="0.45">
      <c r="A14" s="56" t="s">
        <v>140</v>
      </c>
      <c r="B14" s="57"/>
      <c r="C14" s="57"/>
      <c r="D14" s="57"/>
      <c r="E14" s="57"/>
      <c r="F14" s="58"/>
      <c r="G14" s="36">
        <f>Table1326483[[#Totals],[Reimbursement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SUM(Table1326483['# of hours])</f>
        <v>0</v>
      </c>
      <c r="D29" s="35">
        <f>SUM(Table1326483['# of people reached])</f>
        <v>0</v>
      </c>
      <c r="E29" s="35">
        <f>SUM(Table1326483['# of participants])</f>
        <v>0</v>
      </c>
      <c r="F29" s="35">
        <f>SUBTOTAL(109,Table1326483['# of items handed out])</f>
        <v>0</v>
      </c>
      <c r="G29" s="37">
        <f>SUBTOTAL(109,Table1326483[Reimbursement Amount Requested])</f>
        <v>0</v>
      </c>
      <c r="H29" s="52"/>
    </row>
    <row r="30" spans="1:8" x14ac:dyDescent="0.3">
      <c r="H30" s="52"/>
    </row>
    <row r="31" spans="1:8" ht="26.25" x14ac:dyDescent="0.45">
      <c r="A31" s="56" t="s">
        <v>143</v>
      </c>
      <c r="B31" s="57"/>
      <c r="C31" s="57"/>
      <c r="D31" s="57"/>
      <c r="E31" s="57"/>
      <c r="F31" s="58"/>
      <c r="G31" s="36">
        <f>Table13267484[[#Totals],[Reimbursement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SUM(Table13267484['# of hours])</f>
        <v>0</v>
      </c>
      <c r="D41" s="35">
        <f>SUM(Table13267484['# of people reached])</f>
        <v>0</v>
      </c>
      <c r="E41" s="35">
        <f>SUM(Table13267484['# of participants])</f>
        <v>0</v>
      </c>
      <c r="F41" s="35">
        <f>SUBTOTAL(109,Table13267484['# of items handed out])</f>
        <v>0</v>
      </c>
      <c r="G41" s="37">
        <f>SUBTOTAL(109,Table13267484[Reimbursement Amount Requested])</f>
        <v>0</v>
      </c>
      <c r="H41" s="52"/>
    </row>
    <row r="42" spans="1:8" x14ac:dyDescent="0.3">
      <c r="H42" s="52"/>
    </row>
    <row r="43" spans="1:8" ht="26.25" x14ac:dyDescent="0.45">
      <c r="A43" s="56" t="s">
        <v>146</v>
      </c>
      <c r="B43" s="57"/>
      <c r="C43" s="57"/>
      <c r="D43" s="57"/>
      <c r="E43" s="57"/>
      <c r="F43" s="58"/>
      <c r="G43" s="36">
        <f>Table132678485[[#Totals],[Reimbursement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SUM(Table132678485['# of hours])</f>
        <v>0</v>
      </c>
      <c r="D53" s="35">
        <f>SUM(Table132678485['# of people reached])</f>
        <v>0</v>
      </c>
      <c r="E53" s="35">
        <f>SUM(Table132678485['# of participants])</f>
        <v>0</v>
      </c>
      <c r="F53" s="35">
        <f>SUBTOTAL(109,Table132678485['# of items handed out])</f>
        <v>0</v>
      </c>
      <c r="G53" s="37">
        <f>SUBTOTAL(109,Table132678485[Reimbursement Amount Requested])</f>
        <v>0</v>
      </c>
      <c r="H53" s="52"/>
    </row>
    <row r="54" spans="1:8" x14ac:dyDescent="0.3">
      <c r="H54" s="52"/>
    </row>
    <row r="55" spans="1:8" ht="26.25" x14ac:dyDescent="0.45">
      <c r="A55" s="56" t="s">
        <v>181</v>
      </c>
      <c r="B55" s="57"/>
      <c r="C55" s="57"/>
      <c r="D55" s="57"/>
      <c r="E55" s="57"/>
      <c r="F55" s="58"/>
      <c r="G55" s="36">
        <f>Table1326789486[[#Totals],[Reimbursement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SUM(Table1326789486['# of hours])</f>
        <v>0</v>
      </c>
      <c r="D62" s="35">
        <f>SUM(Table1326789486['# of people reached])</f>
        <v>0</v>
      </c>
      <c r="E62" s="35">
        <f>SUM(Table1326789486['# of participants])</f>
        <v>0</v>
      </c>
      <c r="F62" s="35">
        <f>SUBTOTAL(109,Table1326789486['# of items handed out])</f>
        <v>0</v>
      </c>
      <c r="G62" s="31">
        <f>SUBTOTAL(109,Table1326789486[Reimbursement Amount Requested])</f>
        <v>0</v>
      </c>
      <c r="H62" s="52"/>
    </row>
    <row r="63" spans="1:8" x14ac:dyDescent="0.3">
      <c r="H63" s="52"/>
    </row>
    <row r="64" spans="1:8" ht="26.25" x14ac:dyDescent="0.45">
      <c r="A64" s="56" t="s">
        <v>186</v>
      </c>
      <c r="B64" s="57"/>
      <c r="C64" s="57"/>
      <c r="D64" s="57"/>
      <c r="E64" s="57"/>
      <c r="F64" s="58"/>
      <c r="G64" s="36">
        <f>Table13267810487[[#Totals],[Reimbursement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SUM(Table13267810487['# of hours])</f>
        <v>0</v>
      </c>
      <c r="D74" s="35">
        <f>SUM(Table13267810487['# of people reached])</f>
        <v>0</v>
      </c>
      <c r="E74" s="35">
        <f>SUM(Table13267810487['# of participants])</f>
        <v>0</v>
      </c>
      <c r="F74" s="35">
        <f>SUBTOTAL(109,Table13267810487['# of items handed out])</f>
        <v>0</v>
      </c>
      <c r="G74" s="37">
        <f>SUBTOTAL(109,Table13267810487[Reimbursement Amount Requested])</f>
        <v>0</v>
      </c>
      <c r="H74" s="52"/>
    </row>
    <row r="75" spans="1:8" x14ac:dyDescent="0.3">
      <c r="H75" s="52"/>
    </row>
    <row r="76" spans="1:8" ht="26.25" x14ac:dyDescent="0.45">
      <c r="A76" s="56" t="s">
        <v>187</v>
      </c>
      <c r="B76" s="57"/>
      <c r="C76" s="57"/>
      <c r="D76" s="57"/>
      <c r="E76" s="57"/>
      <c r="F76" s="58"/>
      <c r="G76" s="36">
        <f>Table1326781011488[[#Totals],[Reimbursement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SUM(Table1326781011488['# of hours])</f>
        <v>0</v>
      </c>
      <c r="D86" s="35">
        <f>SUM(Table1326781011488['# of people reached])</f>
        <v>0</v>
      </c>
      <c r="E86" s="35">
        <f>SUM(Table1326781011488['# of participants])</f>
        <v>0</v>
      </c>
      <c r="F86" s="35">
        <f>SUBTOTAL(109,Table1326781011488['# of items handed out])</f>
        <v>0</v>
      </c>
      <c r="G86" s="37">
        <f>SUBTOTAL(109,Table1326781011488[Reimbursement Amount Requested])</f>
        <v>0</v>
      </c>
      <c r="H86" s="52"/>
    </row>
    <row r="87" spans="1:8" x14ac:dyDescent="0.3">
      <c r="H87" s="52"/>
    </row>
    <row r="88" spans="1:8" ht="26.25" x14ac:dyDescent="0.45">
      <c r="A88" s="56" t="s">
        <v>189</v>
      </c>
      <c r="B88" s="57"/>
      <c r="C88" s="57"/>
      <c r="D88" s="57"/>
      <c r="E88" s="57"/>
      <c r="F88" s="58"/>
      <c r="G88" s="36">
        <f>Table132678101112489[[#Totals],[Reimbursement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SUM(Table132678101112489['# of hours])</f>
        <v>0</v>
      </c>
      <c r="D98" s="35">
        <f>SUM(Table132678101112489['# of people reached])</f>
        <v>0</v>
      </c>
      <c r="E98" s="35">
        <f>SUM(Table132678101112489['# of participants])</f>
        <v>0</v>
      </c>
      <c r="F98" s="35">
        <f>SUBTOTAL(109,Table132678101112489['# of items handed out])</f>
        <v>0</v>
      </c>
      <c r="G98" s="37">
        <f>SUBTOTAL(109,Table132678101112489[Reimbursement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E535060F-B335-44A2-B473-73FC26141B75}">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2CFCE78B-34F9-4A3E-ABAF-6B2C35A2C622}">
          <x14:formula1>
            <xm:f>Activities!$A$4:$A$27</xm:f>
          </x14:formula1>
          <xm:sqref>A7:A11</xm:sqref>
        </x14:dataValidation>
        <x14:dataValidation type="list" allowBlank="1" showInputMessage="1" showErrorMessage="1" xr:uid="{3A9B28E5-AD68-4F13-8B3E-FA3C3FC7CF86}">
          <x14:formula1>
            <xm:f>Activities!$A$49:$A$59</xm:f>
          </x14:formula1>
          <xm:sqref>A36:A40</xm:sqref>
        </x14:dataValidation>
        <x14:dataValidation type="list" allowBlank="1" showInputMessage="1" showErrorMessage="1" xr:uid="{E1CB8E1A-BADA-4AD8-A440-166376FFC2A9}">
          <x14:formula1>
            <xm:f>Activities!$A$30:$A$46</xm:f>
          </x14:formula1>
          <xm:sqref>A19:A28</xm:sqref>
        </x14:dataValidation>
        <x14:dataValidation type="list" allowBlank="1" showInputMessage="1" showErrorMessage="1" xr:uid="{D9F5671A-017F-4A1D-9303-D4D05F3E9D28}">
          <x14:formula1>
            <xm:f>Activities!$A$87</xm:f>
          </x14:formula1>
          <xm:sqref>A60:A61</xm:sqref>
        </x14:dataValidation>
        <x14:dataValidation type="list" allowBlank="1" showInputMessage="1" showErrorMessage="1" xr:uid="{D04C08C5-D4B4-46C6-9039-AB58D09ECF2C}">
          <x14:formula1>
            <xm:f>Activities!$A$90:$A$100</xm:f>
          </x14:formula1>
          <xm:sqref>A69:A73</xm:sqref>
        </x14:dataValidation>
        <x14:dataValidation type="list" allowBlank="1" showInputMessage="1" showErrorMessage="1" xr:uid="{08D59A03-9EAA-4D94-A5DE-7C6FA8D91410}">
          <x14:formula1>
            <xm:f>Activities!$A$103:$A$109</xm:f>
          </x14:formula1>
          <xm:sqref>A81:A85</xm:sqref>
        </x14:dataValidation>
        <x14:dataValidation type="list" allowBlank="1" showInputMessage="1" showErrorMessage="1" xr:uid="{53C54080-9EC6-470A-A27F-78B6E60AD6A7}">
          <x14:formula1>
            <xm:f>Activities!$A$112:$A$126</xm:f>
          </x14:formula1>
          <xm:sqref>A93:A97</xm:sqref>
        </x14:dataValidation>
        <x14:dataValidation type="list" allowBlank="1" showInputMessage="1" showErrorMessage="1" xr:uid="{8D879BD9-5225-406C-9A10-3E3612D8DB57}">
          <x14:formula1>
            <xm:f>Activities!$A$62:$A$84</xm:f>
          </x14:formula1>
          <xm:sqref>A49:A52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D304-36B7-46F9-8197-8DAC190CB63C}">
  <dimension ref="A1:H100"/>
  <sheetViews>
    <sheetView view="pageLayout" zoomScaleNormal="100" workbookViewId="0">
      <selection activeCell="H3" sqref="H3"/>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Table132490[[#Totals],[Reimbursement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SUM(Table132490['# of hours])</f>
        <v>0</v>
      </c>
      <c r="D12" s="35">
        <f>SUM(Table132490['# of people reached])</f>
        <v>0</v>
      </c>
      <c r="E12" s="35">
        <f>SUM(Table132490['# of participants])</f>
        <v>0</v>
      </c>
      <c r="F12" s="35">
        <f>SUBTOTAL(109,Table132490['# of items handed out])</f>
        <v>0</v>
      </c>
      <c r="G12" s="37">
        <f>SUBTOTAL(109,Table132490[Reimbursement Amount Requested])</f>
        <v>0</v>
      </c>
      <c r="H12" s="52"/>
    </row>
    <row r="13" spans="1:8" x14ac:dyDescent="0.3">
      <c r="H13" s="52"/>
    </row>
    <row r="14" spans="1:8" ht="26.25" x14ac:dyDescent="0.45">
      <c r="A14" s="56" t="s">
        <v>140</v>
      </c>
      <c r="B14" s="57"/>
      <c r="C14" s="57"/>
      <c r="D14" s="57"/>
      <c r="E14" s="57"/>
      <c r="F14" s="58"/>
      <c r="G14" s="36">
        <f>Table1326491[[#Totals],[Reimbursement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SUM(Table1326491['# of hours])</f>
        <v>0</v>
      </c>
      <c r="D29" s="35">
        <f>SUM(Table1326491['# of people reached])</f>
        <v>0</v>
      </c>
      <c r="E29" s="35">
        <f>SUM(Table1326491['# of participants])</f>
        <v>0</v>
      </c>
      <c r="F29" s="35">
        <f>SUBTOTAL(109,Table1326491['# of items handed out])</f>
        <v>0</v>
      </c>
      <c r="G29" s="37">
        <f>SUBTOTAL(109,Table1326491[Reimbursement Amount Requested])</f>
        <v>0</v>
      </c>
      <c r="H29" s="52"/>
    </row>
    <row r="30" spans="1:8" x14ac:dyDescent="0.3">
      <c r="H30" s="52"/>
    </row>
    <row r="31" spans="1:8" ht="26.25" x14ac:dyDescent="0.45">
      <c r="A31" s="56" t="s">
        <v>143</v>
      </c>
      <c r="B31" s="57"/>
      <c r="C31" s="57"/>
      <c r="D31" s="57"/>
      <c r="E31" s="57"/>
      <c r="F31" s="58"/>
      <c r="G31" s="36">
        <f>Table13267492[[#Totals],[Reimbursement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SUM(Table13267492['# of hours])</f>
        <v>0</v>
      </c>
      <c r="D41" s="35">
        <f>SUM(Table13267492['# of people reached])</f>
        <v>0</v>
      </c>
      <c r="E41" s="35">
        <f>SUM(Table13267492['# of participants])</f>
        <v>0</v>
      </c>
      <c r="F41" s="35">
        <f>SUBTOTAL(109,Table13267492['# of items handed out])</f>
        <v>0</v>
      </c>
      <c r="G41" s="37">
        <f>SUBTOTAL(109,Table13267492[Reimbursement Amount Requested])</f>
        <v>0</v>
      </c>
      <c r="H41" s="52"/>
    </row>
    <row r="42" spans="1:8" x14ac:dyDescent="0.3">
      <c r="H42" s="52"/>
    </row>
    <row r="43" spans="1:8" ht="26.25" x14ac:dyDescent="0.45">
      <c r="A43" s="56" t="s">
        <v>146</v>
      </c>
      <c r="B43" s="57"/>
      <c r="C43" s="57"/>
      <c r="D43" s="57"/>
      <c r="E43" s="57"/>
      <c r="F43" s="58"/>
      <c r="G43" s="36">
        <f>Table132678493[[#Totals],[Reimbursement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SUM(Table132678493['# of hours])</f>
        <v>0</v>
      </c>
      <c r="D53" s="35">
        <f>SUM(Table132678493['# of people reached])</f>
        <v>0</v>
      </c>
      <c r="E53" s="35">
        <f>SUM(Table132678493['# of participants])</f>
        <v>0</v>
      </c>
      <c r="F53" s="35">
        <f>SUBTOTAL(109,Table132678493['# of items handed out])</f>
        <v>0</v>
      </c>
      <c r="G53" s="37">
        <f>SUBTOTAL(109,Table132678493[Reimbursement Amount Requested])</f>
        <v>0</v>
      </c>
      <c r="H53" s="52"/>
    </row>
    <row r="54" spans="1:8" x14ac:dyDescent="0.3">
      <c r="H54" s="52"/>
    </row>
    <row r="55" spans="1:8" ht="26.25" x14ac:dyDescent="0.45">
      <c r="A55" s="56" t="s">
        <v>181</v>
      </c>
      <c r="B55" s="57"/>
      <c r="C55" s="57"/>
      <c r="D55" s="57"/>
      <c r="E55" s="57"/>
      <c r="F55" s="58"/>
      <c r="G55" s="36">
        <f>Table1326789494[[#Totals],[Reimbursement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SUM(Table1326789494['# of hours])</f>
        <v>0</v>
      </c>
      <c r="D62" s="35">
        <f>SUM(Table1326789494['# of people reached])</f>
        <v>0</v>
      </c>
      <c r="E62" s="35">
        <f>SUM(Table1326789494['# of participants])</f>
        <v>0</v>
      </c>
      <c r="F62" s="35">
        <f>SUBTOTAL(109,Table1326789494['# of items handed out])</f>
        <v>0</v>
      </c>
      <c r="G62" s="31">
        <f>SUBTOTAL(109,Table1326789494[Reimbursement Amount Requested])</f>
        <v>0</v>
      </c>
      <c r="H62" s="52"/>
    </row>
    <row r="63" spans="1:8" x14ac:dyDescent="0.3">
      <c r="H63" s="52"/>
    </row>
    <row r="64" spans="1:8" ht="26.25" x14ac:dyDescent="0.45">
      <c r="A64" s="56" t="s">
        <v>186</v>
      </c>
      <c r="B64" s="57"/>
      <c r="C64" s="57"/>
      <c r="D64" s="57"/>
      <c r="E64" s="57"/>
      <c r="F64" s="58"/>
      <c r="G64" s="36">
        <f>Table13267810495[[#Totals],[Reimbursement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SUM(Table13267810495['# of hours])</f>
        <v>0</v>
      </c>
      <c r="D74" s="35">
        <f>SUM(Table13267810495['# of people reached])</f>
        <v>0</v>
      </c>
      <c r="E74" s="35">
        <f>SUM(Table13267810495['# of participants])</f>
        <v>0</v>
      </c>
      <c r="F74" s="35">
        <f>SUBTOTAL(109,Table13267810495['# of items handed out])</f>
        <v>0</v>
      </c>
      <c r="G74" s="37">
        <f>SUBTOTAL(109,Table13267810495[Reimbursement Amount Requested])</f>
        <v>0</v>
      </c>
      <c r="H74" s="52"/>
    </row>
    <row r="75" spans="1:8" x14ac:dyDescent="0.3">
      <c r="H75" s="52"/>
    </row>
    <row r="76" spans="1:8" ht="26.25" x14ac:dyDescent="0.45">
      <c r="A76" s="56" t="s">
        <v>187</v>
      </c>
      <c r="B76" s="57"/>
      <c r="C76" s="57"/>
      <c r="D76" s="57"/>
      <c r="E76" s="57"/>
      <c r="F76" s="58"/>
      <c r="G76" s="36">
        <f>Table1326781011496[[#Totals],[Reimbursement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SUM(Table1326781011496['# of hours])</f>
        <v>0</v>
      </c>
      <c r="D86" s="35">
        <f>SUM(Table1326781011496['# of people reached])</f>
        <v>0</v>
      </c>
      <c r="E86" s="35">
        <f>SUM(Table1326781011496['# of participants])</f>
        <v>0</v>
      </c>
      <c r="F86" s="35">
        <f>SUBTOTAL(109,Table1326781011496['# of items handed out])</f>
        <v>0</v>
      </c>
      <c r="G86" s="37">
        <f>SUBTOTAL(109,Table1326781011496[Reimbursement Amount Requested])</f>
        <v>0</v>
      </c>
      <c r="H86" s="52"/>
    </row>
    <row r="87" spans="1:8" x14ac:dyDescent="0.3">
      <c r="H87" s="52"/>
    </row>
    <row r="88" spans="1:8" ht="26.25" x14ac:dyDescent="0.45">
      <c r="A88" s="56" t="s">
        <v>189</v>
      </c>
      <c r="B88" s="57"/>
      <c r="C88" s="57"/>
      <c r="D88" s="57"/>
      <c r="E88" s="57"/>
      <c r="F88" s="58"/>
      <c r="G88" s="36">
        <f>Table132678101112497[[#Totals],[Reimbursement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SUM(Table132678101112497['# of hours])</f>
        <v>0</v>
      </c>
      <c r="D98" s="35">
        <f>SUM(Table132678101112497['# of people reached])</f>
        <v>0</v>
      </c>
      <c r="E98" s="35">
        <f>SUM(Table132678101112497['# of participants])</f>
        <v>0</v>
      </c>
      <c r="F98" s="35">
        <f>SUBTOTAL(109,Table132678101112497['# of items handed out])</f>
        <v>0</v>
      </c>
      <c r="G98" s="37">
        <f>SUBTOTAL(109,Table132678101112497[Reimbursement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76634269-3426-44B4-91FA-8B640E07F320}">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C093C22B-7365-4B4D-BB0C-84A53D17277F}">
          <x14:formula1>
            <xm:f>Activities!$A$62:$A$84</xm:f>
          </x14:formula1>
          <xm:sqref>A49:A52</xm:sqref>
        </x14:dataValidation>
        <x14:dataValidation type="list" allowBlank="1" showInputMessage="1" showErrorMessage="1" xr:uid="{ABD53C19-3C13-4784-8AA0-9BBD5FAB8A00}">
          <x14:formula1>
            <xm:f>Activities!$A$112:$A$126</xm:f>
          </x14:formula1>
          <xm:sqref>A93:A97</xm:sqref>
        </x14:dataValidation>
        <x14:dataValidation type="list" allowBlank="1" showInputMessage="1" showErrorMessage="1" xr:uid="{9B8431B0-07BA-465B-8C9B-0A6289AF65D8}">
          <x14:formula1>
            <xm:f>Activities!$A$103:$A$109</xm:f>
          </x14:formula1>
          <xm:sqref>A81:A85</xm:sqref>
        </x14:dataValidation>
        <x14:dataValidation type="list" allowBlank="1" showInputMessage="1" showErrorMessage="1" xr:uid="{E835BDA5-D036-4441-9B04-03C0295E89B0}">
          <x14:formula1>
            <xm:f>Activities!$A$90:$A$100</xm:f>
          </x14:formula1>
          <xm:sqref>A69:A73</xm:sqref>
        </x14:dataValidation>
        <x14:dataValidation type="list" allowBlank="1" showInputMessage="1" showErrorMessage="1" xr:uid="{853CCCE9-E6B1-4095-B014-8E565565A60A}">
          <x14:formula1>
            <xm:f>Activities!$A$87</xm:f>
          </x14:formula1>
          <xm:sqref>A60:A61</xm:sqref>
        </x14:dataValidation>
        <x14:dataValidation type="list" allowBlank="1" showInputMessage="1" showErrorMessage="1" xr:uid="{33F6BD35-79D9-4A1A-9E33-352DDD9F98DB}">
          <x14:formula1>
            <xm:f>Activities!$A$30:$A$46</xm:f>
          </x14:formula1>
          <xm:sqref>A19:A28</xm:sqref>
        </x14:dataValidation>
        <x14:dataValidation type="list" allowBlank="1" showInputMessage="1" showErrorMessage="1" xr:uid="{8F041B59-549B-4FFE-A12B-0A05D1D415B6}">
          <x14:formula1>
            <xm:f>Activities!$A$49:$A$59</xm:f>
          </x14:formula1>
          <xm:sqref>A36:A40</xm:sqref>
        </x14:dataValidation>
        <x14:dataValidation type="list" allowBlank="1" showInputMessage="1" showErrorMessage="1" xr:uid="{48477403-A1C5-4B7B-82C9-69A3496C35AC}">
          <x14:formula1>
            <xm:f>Activities!$A$4:$A$27</xm:f>
          </x14:formula1>
          <xm:sqref>A7:A11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88E5-3A0A-4357-9BF5-CE1601A4481E}">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Table132498[[#Totals],[Reimbursement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SUM(Table132498['# of hours])</f>
        <v>0</v>
      </c>
      <c r="D12" s="35">
        <f>SUM(Table132498['# of people reached])</f>
        <v>0</v>
      </c>
      <c r="E12" s="35">
        <f>SUM(Table132498['# of participants])</f>
        <v>0</v>
      </c>
      <c r="F12" s="35">
        <f>SUBTOTAL(109,Table132498['# of items handed out])</f>
        <v>0</v>
      </c>
      <c r="G12" s="37">
        <f>SUBTOTAL(109,Table132498[Reimbursement Amount Requested])</f>
        <v>0</v>
      </c>
      <c r="H12" s="52"/>
    </row>
    <row r="13" spans="1:8" x14ac:dyDescent="0.3">
      <c r="H13" s="52"/>
    </row>
    <row r="14" spans="1:8" ht="26.25" x14ac:dyDescent="0.45">
      <c r="A14" s="56" t="s">
        <v>140</v>
      </c>
      <c r="B14" s="57"/>
      <c r="C14" s="57"/>
      <c r="D14" s="57"/>
      <c r="E14" s="57"/>
      <c r="F14" s="58"/>
      <c r="G14" s="36">
        <f>Table1326499[[#Totals],[Reimbursement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SUM(Table1326499['# of hours])</f>
        <v>0</v>
      </c>
      <c r="D29" s="35">
        <f>SUM(Table1326499['# of people reached])</f>
        <v>0</v>
      </c>
      <c r="E29" s="35">
        <f>SUM(Table1326499['# of participants])</f>
        <v>0</v>
      </c>
      <c r="F29" s="35">
        <f>SUBTOTAL(109,Table1326499['# of items handed out])</f>
        <v>0</v>
      </c>
      <c r="G29" s="37">
        <f>SUBTOTAL(109,Table1326499[Reimbursement Amount Requested])</f>
        <v>0</v>
      </c>
      <c r="H29" s="52"/>
    </row>
    <row r="30" spans="1:8" x14ac:dyDescent="0.3">
      <c r="H30" s="52"/>
    </row>
    <row r="31" spans="1:8" ht="26.25" x14ac:dyDescent="0.45">
      <c r="A31" s="56" t="s">
        <v>143</v>
      </c>
      <c r="B31" s="57"/>
      <c r="C31" s="57"/>
      <c r="D31" s="57"/>
      <c r="E31" s="57"/>
      <c r="F31" s="58"/>
      <c r="G31" s="36">
        <f>Table13267500[[#Totals],[Reimbursement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SUM(Table13267500['# of hours])</f>
        <v>0</v>
      </c>
      <c r="D41" s="35">
        <f>SUM(Table13267500['# of people reached])</f>
        <v>0</v>
      </c>
      <c r="E41" s="35">
        <f>SUM(Table13267500['# of participants])</f>
        <v>0</v>
      </c>
      <c r="F41" s="35">
        <f>SUBTOTAL(109,Table13267500['# of items handed out])</f>
        <v>0</v>
      </c>
      <c r="G41" s="37">
        <f>SUBTOTAL(109,Table13267500[Reimbursement Amount Requested])</f>
        <v>0</v>
      </c>
      <c r="H41" s="52"/>
    </row>
    <row r="42" spans="1:8" x14ac:dyDescent="0.3">
      <c r="H42" s="52"/>
    </row>
    <row r="43" spans="1:8" ht="26.25" x14ac:dyDescent="0.45">
      <c r="A43" s="56" t="s">
        <v>146</v>
      </c>
      <c r="B43" s="57"/>
      <c r="C43" s="57"/>
      <c r="D43" s="57"/>
      <c r="E43" s="57"/>
      <c r="F43" s="58"/>
      <c r="G43" s="36">
        <f>Table132678501[[#Totals],[Reimbursement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SUM(Table132678501['# of hours])</f>
        <v>0</v>
      </c>
      <c r="D53" s="35">
        <f>SUM(Table132678501['# of people reached])</f>
        <v>0</v>
      </c>
      <c r="E53" s="35">
        <f>SUM(Table132678501['# of participants])</f>
        <v>0</v>
      </c>
      <c r="F53" s="35">
        <f>SUBTOTAL(109,Table132678501['# of items handed out])</f>
        <v>0</v>
      </c>
      <c r="G53" s="37">
        <f>SUBTOTAL(109,Table132678501[Reimbursement Amount Requested])</f>
        <v>0</v>
      </c>
      <c r="H53" s="52"/>
    </row>
    <row r="54" spans="1:8" x14ac:dyDescent="0.3">
      <c r="H54" s="52"/>
    </row>
    <row r="55" spans="1:8" ht="26.25" x14ac:dyDescent="0.45">
      <c r="A55" s="56" t="s">
        <v>181</v>
      </c>
      <c r="B55" s="57"/>
      <c r="C55" s="57"/>
      <c r="D55" s="57"/>
      <c r="E55" s="57"/>
      <c r="F55" s="58"/>
      <c r="G55" s="36">
        <f>Table1326789502[[#Totals],[Reimbursement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SUM(Table1326789502['# of hours])</f>
        <v>0</v>
      </c>
      <c r="D62" s="35">
        <f>SUM(Table1326789502['# of people reached])</f>
        <v>0</v>
      </c>
      <c r="E62" s="35">
        <f>SUM(Table1326789502['# of participants])</f>
        <v>0</v>
      </c>
      <c r="F62" s="35">
        <f>SUBTOTAL(109,Table1326789502['# of items handed out])</f>
        <v>0</v>
      </c>
      <c r="G62" s="31">
        <f>SUBTOTAL(109,Table1326789502[Reimbursement Amount Requested])</f>
        <v>0</v>
      </c>
      <c r="H62" s="52"/>
    </row>
    <row r="63" spans="1:8" x14ac:dyDescent="0.3">
      <c r="H63" s="52"/>
    </row>
    <row r="64" spans="1:8" ht="26.25" x14ac:dyDescent="0.45">
      <c r="A64" s="56" t="s">
        <v>186</v>
      </c>
      <c r="B64" s="57"/>
      <c r="C64" s="57"/>
      <c r="D64" s="57"/>
      <c r="E64" s="57"/>
      <c r="F64" s="58"/>
      <c r="G64" s="36">
        <f>Table13267810503[[#Totals],[Reimbursement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SUM(Table13267810503['# of hours])</f>
        <v>0</v>
      </c>
      <c r="D74" s="35">
        <f>SUM(Table13267810503['# of people reached])</f>
        <v>0</v>
      </c>
      <c r="E74" s="35">
        <f>SUM(Table13267810503['# of participants])</f>
        <v>0</v>
      </c>
      <c r="F74" s="35">
        <f>SUBTOTAL(109,Table13267810503['# of items handed out])</f>
        <v>0</v>
      </c>
      <c r="G74" s="37">
        <f>SUBTOTAL(109,Table13267810503[Reimbursement Amount Requested])</f>
        <v>0</v>
      </c>
      <c r="H74" s="52"/>
    </row>
    <row r="75" spans="1:8" x14ac:dyDescent="0.3">
      <c r="H75" s="52"/>
    </row>
    <row r="76" spans="1:8" ht="26.25" x14ac:dyDescent="0.45">
      <c r="A76" s="56" t="s">
        <v>187</v>
      </c>
      <c r="B76" s="57"/>
      <c r="C76" s="57"/>
      <c r="D76" s="57"/>
      <c r="E76" s="57"/>
      <c r="F76" s="58"/>
      <c r="G76" s="36">
        <f>Table1326781011504[[#Totals],[Reimbursement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SUM(Table1326781011504['# of hours])</f>
        <v>0</v>
      </c>
      <c r="D86" s="35">
        <f>SUM(Table1326781011504['# of people reached])</f>
        <v>0</v>
      </c>
      <c r="E86" s="35">
        <f>SUM(Table1326781011504['# of participants])</f>
        <v>0</v>
      </c>
      <c r="F86" s="35">
        <f>SUBTOTAL(109,Table1326781011504['# of items handed out])</f>
        <v>0</v>
      </c>
      <c r="G86" s="37">
        <f>SUBTOTAL(109,Table1326781011504[Reimbursement Amount Requested])</f>
        <v>0</v>
      </c>
      <c r="H86" s="52"/>
    </row>
    <row r="87" spans="1:8" x14ac:dyDescent="0.3">
      <c r="H87" s="52"/>
    </row>
    <row r="88" spans="1:8" ht="26.25" x14ac:dyDescent="0.45">
      <c r="A88" s="56" t="s">
        <v>189</v>
      </c>
      <c r="B88" s="57"/>
      <c r="C88" s="57"/>
      <c r="D88" s="57"/>
      <c r="E88" s="57"/>
      <c r="F88" s="58"/>
      <c r="G88" s="36">
        <f>Table132678101112505[[#Totals],[Reimbursement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SUM(Table132678101112505['# of hours])</f>
        <v>0</v>
      </c>
      <c r="D98" s="35">
        <f>SUM(Table132678101112505['# of people reached])</f>
        <v>0</v>
      </c>
      <c r="E98" s="35">
        <f>SUM(Table132678101112505['# of participants])</f>
        <v>0</v>
      </c>
      <c r="F98" s="35">
        <f>SUBTOTAL(109,Table132678101112505['# of items handed out])</f>
        <v>0</v>
      </c>
      <c r="G98" s="37">
        <f>SUBTOTAL(109,Table132678101112505[Reimbursement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99430CE3-3C90-4F8E-A12A-C08AAA180506}">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F09A1A1A-C043-4E93-81B6-490AE350282E}">
          <x14:formula1>
            <xm:f>Activities!$A$4:$A$27</xm:f>
          </x14:formula1>
          <xm:sqref>A7:A11</xm:sqref>
        </x14:dataValidation>
        <x14:dataValidation type="list" allowBlank="1" showInputMessage="1" showErrorMessage="1" xr:uid="{F867EFA6-E7AB-477D-873A-4F6E1E36BE7A}">
          <x14:formula1>
            <xm:f>Activities!$A$49:$A$59</xm:f>
          </x14:formula1>
          <xm:sqref>A36:A40</xm:sqref>
        </x14:dataValidation>
        <x14:dataValidation type="list" allowBlank="1" showInputMessage="1" showErrorMessage="1" xr:uid="{7315F335-9600-488F-BA17-7E3A69DDE587}">
          <x14:formula1>
            <xm:f>Activities!$A$30:$A$46</xm:f>
          </x14:formula1>
          <xm:sqref>A19:A28</xm:sqref>
        </x14:dataValidation>
        <x14:dataValidation type="list" allowBlank="1" showInputMessage="1" showErrorMessage="1" xr:uid="{D57BF3CA-93EE-4CD6-BB96-A80BB6CB239E}">
          <x14:formula1>
            <xm:f>Activities!$A$87</xm:f>
          </x14:formula1>
          <xm:sqref>A60:A61</xm:sqref>
        </x14:dataValidation>
        <x14:dataValidation type="list" allowBlank="1" showInputMessage="1" showErrorMessage="1" xr:uid="{43A0FFDB-FB48-4C91-9B9B-47FD53002862}">
          <x14:formula1>
            <xm:f>Activities!$A$90:$A$100</xm:f>
          </x14:formula1>
          <xm:sqref>A69:A73</xm:sqref>
        </x14:dataValidation>
        <x14:dataValidation type="list" allowBlank="1" showInputMessage="1" showErrorMessage="1" xr:uid="{038D6E75-AE59-4366-B971-AFBCDB884BB5}">
          <x14:formula1>
            <xm:f>Activities!$A$103:$A$109</xm:f>
          </x14:formula1>
          <xm:sqref>A81:A85</xm:sqref>
        </x14:dataValidation>
        <x14:dataValidation type="list" allowBlank="1" showInputMessage="1" showErrorMessage="1" xr:uid="{B291E5DA-6F17-4123-B5A4-9B00AD6A1AA6}">
          <x14:formula1>
            <xm:f>Activities!$A$112:$A$126</xm:f>
          </x14:formula1>
          <xm:sqref>A93:A97</xm:sqref>
        </x14:dataValidation>
        <x14:dataValidation type="list" allowBlank="1" showInputMessage="1" showErrorMessage="1" xr:uid="{3A253093-F8AA-432C-B89F-E9AE07982DA5}">
          <x14:formula1>
            <xm:f>Activities!$A$62:$A$84</xm:f>
          </x14:formula1>
          <xm:sqref>A49:A52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09B0-AC40-4881-88E3-ABEE335C8659}">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Table132506[[#Totals],[Reimbursement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SUM(Table132506['# of hours])</f>
        <v>0</v>
      </c>
      <c r="D12" s="35">
        <f>SUM(Table132506['# of people reached])</f>
        <v>0</v>
      </c>
      <c r="E12" s="35">
        <f>SUM(Table132506['# of participants])</f>
        <v>0</v>
      </c>
      <c r="F12" s="35">
        <f>SUBTOTAL(109,Table132506['# of items handed out])</f>
        <v>0</v>
      </c>
      <c r="G12" s="37">
        <f>SUBTOTAL(109,Table132506[Reimbursement Amount Requested])</f>
        <v>0</v>
      </c>
      <c r="H12" s="52"/>
    </row>
    <row r="13" spans="1:8" x14ac:dyDescent="0.3">
      <c r="H13" s="52"/>
    </row>
    <row r="14" spans="1:8" ht="26.25" x14ac:dyDescent="0.45">
      <c r="A14" s="56" t="s">
        <v>140</v>
      </c>
      <c r="B14" s="57"/>
      <c r="C14" s="57"/>
      <c r="D14" s="57"/>
      <c r="E14" s="57"/>
      <c r="F14" s="58"/>
      <c r="G14" s="36">
        <f>Table1326507[[#Totals],[Reimbursement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SUM(Table1326507['# of hours])</f>
        <v>0</v>
      </c>
      <c r="D29" s="35">
        <f>SUM(Table1326507['# of people reached])</f>
        <v>0</v>
      </c>
      <c r="E29" s="35">
        <f>SUM(Table1326507['# of participants])</f>
        <v>0</v>
      </c>
      <c r="F29" s="35">
        <f>SUBTOTAL(109,Table1326507['# of items handed out])</f>
        <v>0</v>
      </c>
      <c r="G29" s="37">
        <f>SUBTOTAL(109,Table1326507[Reimbursement Amount Requested])</f>
        <v>0</v>
      </c>
      <c r="H29" s="52"/>
    </row>
    <row r="30" spans="1:8" x14ac:dyDescent="0.3">
      <c r="H30" s="52"/>
    </row>
    <row r="31" spans="1:8" ht="26.25" x14ac:dyDescent="0.45">
      <c r="A31" s="56" t="s">
        <v>143</v>
      </c>
      <c r="B31" s="57"/>
      <c r="C31" s="57"/>
      <c r="D31" s="57"/>
      <c r="E31" s="57"/>
      <c r="F31" s="58"/>
      <c r="G31" s="36">
        <f>Table13267508[[#Totals],[Reimbursement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SUM(Table13267508['# of hours])</f>
        <v>0</v>
      </c>
      <c r="D41" s="35">
        <f>SUM(Table13267508['# of people reached])</f>
        <v>0</v>
      </c>
      <c r="E41" s="35">
        <f>SUM(Table13267508['# of participants])</f>
        <v>0</v>
      </c>
      <c r="F41" s="35">
        <f>SUBTOTAL(109,Table13267508['# of items handed out])</f>
        <v>0</v>
      </c>
      <c r="G41" s="37">
        <f>SUBTOTAL(109,Table13267508[Reimbursement Amount Requested])</f>
        <v>0</v>
      </c>
      <c r="H41" s="52"/>
    </row>
    <row r="42" spans="1:8" x14ac:dyDescent="0.3">
      <c r="H42" s="52"/>
    </row>
    <row r="43" spans="1:8" ht="26.25" x14ac:dyDescent="0.45">
      <c r="A43" s="56" t="s">
        <v>146</v>
      </c>
      <c r="B43" s="57"/>
      <c r="C43" s="57"/>
      <c r="D43" s="57"/>
      <c r="E43" s="57"/>
      <c r="F43" s="58"/>
      <c r="G43" s="36">
        <f>Table132678509[[#Totals],[Reimbursement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SUM(Table132678509['# of hours])</f>
        <v>0</v>
      </c>
      <c r="D53" s="35">
        <f>SUM(Table132678509['# of people reached])</f>
        <v>0</v>
      </c>
      <c r="E53" s="35">
        <f>SUM(Table132678509['# of participants])</f>
        <v>0</v>
      </c>
      <c r="F53" s="35">
        <f>SUBTOTAL(109,Table132678509['# of items handed out])</f>
        <v>0</v>
      </c>
      <c r="G53" s="37">
        <f>SUBTOTAL(109,Table132678509[Reimbursement Amount Requested])</f>
        <v>0</v>
      </c>
      <c r="H53" s="52"/>
    </row>
    <row r="54" spans="1:8" x14ac:dyDescent="0.3">
      <c r="H54" s="52"/>
    </row>
    <row r="55" spans="1:8" ht="26.25" x14ac:dyDescent="0.45">
      <c r="A55" s="56" t="s">
        <v>181</v>
      </c>
      <c r="B55" s="57"/>
      <c r="C55" s="57"/>
      <c r="D55" s="57"/>
      <c r="E55" s="57"/>
      <c r="F55" s="58"/>
      <c r="G55" s="36">
        <f>Table1326789510[[#Totals],[Reimbursement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SUM(Table1326789510['# of hours])</f>
        <v>0</v>
      </c>
      <c r="D62" s="35">
        <f>SUM(Table1326789510['# of people reached])</f>
        <v>0</v>
      </c>
      <c r="E62" s="35">
        <f>SUM(Table1326789510['# of participants])</f>
        <v>0</v>
      </c>
      <c r="F62" s="35">
        <f>SUBTOTAL(109,Table1326789510['# of items handed out])</f>
        <v>0</v>
      </c>
      <c r="G62" s="31">
        <f>SUBTOTAL(109,Table1326789510[Reimbursement Amount Requested])</f>
        <v>0</v>
      </c>
      <c r="H62" s="52"/>
    </row>
    <row r="63" spans="1:8" x14ac:dyDescent="0.3">
      <c r="H63" s="52"/>
    </row>
    <row r="64" spans="1:8" ht="26.25" x14ac:dyDescent="0.45">
      <c r="A64" s="56" t="s">
        <v>186</v>
      </c>
      <c r="B64" s="57"/>
      <c r="C64" s="57"/>
      <c r="D64" s="57"/>
      <c r="E64" s="57"/>
      <c r="F64" s="58"/>
      <c r="G64" s="36">
        <f>Table13267810511[[#Totals],[Reimbursement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SUM(Table13267810511['# of hours])</f>
        <v>0</v>
      </c>
      <c r="D74" s="35">
        <f>SUM(Table13267810511['# of people reached])</f>
        <v>0</v>
      </c>
      <c r="E74" s="35">
        <f>SUM(Table13267810511['# of participants])</f>
        <v>0</v>
      </c>
      <c r="F74" s="35">
        <f>SUBTOTAL(109,Table13267810511['# of items handed out])</f>
        <v>0</v>
      </c>
      <c r="G74" s="37">
        <f>SUBTOTAL(109,Table13267810511[Reimbursement Amount Requested])</f>
        <v>0</v>
      </c>
      <c r="H74" s="52"/>
    </row>
    <row r="75" spans="1:8" x14ac:dyDescent="0.3">
      <c r="H75" s="52"/>
    </row>
    <row r="76" spans="1:8" ht="26.25" x14ac:dyDescent="0.45">
      <c r="A76" s="56" t="s">
        <v>187</v>
      </c>
      <c r="B76" s="57"/>
      <c r="C76" s="57"/>
      <c r="D76" s="57"/>
      <c r="E76" s="57"/>
      <c r="F76" s="58"/>
      <c r="G76" s="36">
        <f>Table1326781011512[[#Totals],[Reimbursement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SUM(Table1326781011512['# of hours])</f>
        <v>0</v>
      </c>
      <c r="D86" s="35">
        <f>SUM(Table1326781011512['# of people reached])</f>
        <v>0</v>
      </c>
      <c r="E86" s="35">
        <f>SUM(Table1326781011512['# of participants])</f>
        <v>0</v>
      </c>
      <c r="F86" s="35">
        <f>SUBTOTAL(109,Table1326781011512['# of items handed out])</f>
        <v>0</v>
      </c>
      <c r="G86" s="37">
        <f>SUBTOTAL(109,Table1326781011512[Reimbursement Amount Requested])</f>
        <v>0</v>
      </c>
      <c r="H86" s="52"/>
    </row>
    <row r="87" spans="1:8" x14ac:dyDescent="0.3">
      <c r="H87" s="52"/>
    </row>
    <row r="88" spans="1:8" ht="26.25" x14ac:dyDescent="0.45">
      <c r="A88" s="56" t="s">
        <v>189</v>
      </c>
      <c r="B88" s="57"/>
      <c r="C88" s="57"/>
      <c r="D88" s="57"/>
      <c r="E88" s="57"/>
      <c r="F88" s="58"/>
      <c r="G88" s="36">
        <f>Table132678101112513[[#Totals],[Reimbursement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SUM(Table132678101112513['# of hours])</f>
        <v>0</v>
      </c>
      <c r="D98" s="35">
        <f>SUM(Table132678101112513['# of people reached])</f>
        <v>0</v>
      </c>
      <c r="E98" s="35">
        <f>SUM(Table132678101112513['# of participants])</f>
        <v>0</v>
      </c>
      <c r="F98" s="35">
        <f>SUBTOTAL(109,Table132678101112513['# of items handed out])</f>
        <v>0</v>
      </c>
      <c r="G98" s="37">
        <f>SUBTOTAL(109,Table132678101112513[Reimbursement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BCE91B5A-13B5-4E0C-8CFE-D45EDAC32143}">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977EA7A6-30D3-4347-A77D-E668CE102668}">
          <x14:formula1>
            <xm:f>Activities!$A$62:$A$84</xm:f>
          </x14:formula1>
          <xm:sqref>A49:A52</xm:sqref>
        </x14:dataValidation>
        <x14:dataValidation type="list" allowBlank="1" showInputMessage="1" showErrorMessage="1" xr:uid="{62228742-0264-427E-8559-FAFB7B9811A4}">
          <x14:formula1>
            <xm:f>Activities!$A$112:$A$126</xm:f>
          </x14:formula1>
          <xm:sqref>A93:A97</xm:sqref>
        </x14:dataValidation>
        <x14:dataValidation type="list" allowBlank="1" showInputMessage="1" showErrorMessage="1" xr:uid="{20278F0D-42BC-48B5-BDE7-0F854F34B505}">
          <x14:formula1>
            <xm:f>Activities!$A$103:$A$109</xm:f>
          </x14:formula1>
          <xm:sqref>A81:A85</xm:sqref>
        </x14:dataValidation>
        <x14:dataValidation type="list" allowBlank="1" showInputMessage="1" showErrorMessage="1" xr:uid="{6AD8EE50-507A-4859-B695-1FA347474615}">
          <x14:formula1>
            <xm:f>Activities!$A$90:$A$100</xm:f>
          </x14:formula1>
          <xm:sqref>A69:A73</xm:sqref>
        </x14:dataValidation>
        <x14:dataValidation type="list" allowBlank="1" showInputMessage="1" showErrorMessage="1" xr:uid="{D97405BD-B6DD-48D4-8575-BFBA715974C1}">
          <x14:formula1>
            <xm:f>Activities!$A$87</xm:f>
          </x14:formula1>
          <xm:sqref>A60:A61</xm:sqref>
        </x14:dataValidation>
        <x14:dataValidation type="list" allowBlank="1" showInputMessage="1" showErrorMessage="1" xr:uid="{277A4C00-45BE-4F41-BF85-99563D56493C}">
          <x14:formula1>
            <xm:f>Activities!$A$30:$A$46</xm:f>
          </x14:formula1>
          <xm:sqref>A19:A28</xm:sqref>
        </x14:dataValidation>
        <x14:dataValidation type="list" allowBlank="1" showInputMessage="1" showErrorMessage="1" xr:uid="{F309A6B9-2EF6-485C-B1D6-66227FB9A3A1}">
          <x14:formula1>
            <xm:f>Activities!$A$49:$A$59</xm:f>
          </x14:formula1>
          <xm:sqref>A36:A40</xm:sqref>
        </x14:dataValidation>
        <x14:dataValidation type="list" allowBlank="1" showInputMessage="1" showErrorMessage="1" xr:uid="{5E1154C9-8593-4E70-894A-007432B78620}">
          <x14:formula1>
            <xm:f>Activities!$A$4:$A$27</xm:f>
          </x14:formula1>
          <xm:sqref>A7:A11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87C2C-EA93-4A9A-B961-01845A576916}">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Table132514[[#Totals],[Reimbursement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SUM(Table132514['# of hours])</f>
        <v>0</v>
      </c>
      <c r="D12" s="35">
        <f>SUM(Table132514['# of people reached])</f>
        <v>0</v>
      </c>
      <c r="E12" s="35">
        <f>SUM(Table132514['# of participants])</f>
        <v>0</v>
      </c>
      <c r="F12" s="35">
        <f>SUBTOTAL(109,Table132514['# of items handed out])</f>
        <v>0</v>
      </c>
      <c r="G12" s="37">
        <f>SUBTOTAL(109,Table132514[Reimbursement Amount Requested])</f>
        <v>0</v>
      </c>
      <c r="H12" s="52"/>
    </row>
    <row r="13" spans="1:8" x14ac:dyDescent="0.3">
      <c r="H13" s="52"/>
    </row>
    <row r="14" spans="1:8" ht="26.25" x14ac:dyDescent="0.45">
      <c r="A14" s="56" t="s">
        <v>140</v>
      </c>
      <c r="B14" s="57"/>
      <c r="C14" s="57"/>
      <c r="D14" s="57"/>
      <c r="E14" s="57"/>
      <c r="F14" s="58"/>
      <c r="G14" s="36">
        <f>Table1326515[[#Totals],[Reimbursement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SUM(Table1326515['# of hours])</f>
        <v>0</v>
      </c>
      <c r="D29" s="35">
        <f>SUM(Table1326515['# of people reached])</f>
        <v>0</v>
      </c>
      <c r="E29" s="35">
        <f>SUM(Table1326515['# of participants])</f>
        <v>0</v>
      </c>
      <c r="F29" s="35">
        <f>SUBTOTAL(109,Table1326515['# of items handed out])</f>
        <v>0</v>
      </c>
      <c r="G29" s="37">
        <f>SUBTOTAL(109,Table1326515[Reimbursement Amount Requested])</f>
        <v>0</v>
      </c>
      <c r="H29" s="52"/>
    </row>
    <row r="30" spans="1:8" x14ac:dyDescent="0.3">
      <c r="H30" s="52"/>
    </row>
    <row r="31" spans="1:8" ht="26.25" x14ac:dyDescent="0.45">
      <c r="A31" s="56" t="s">
        <v>143</v>
      </c>
      <c r="B31" s="57"/>
      <c r="C31" s="57"/>
      <c r="D31" s="57"/>
      <c r="E31" s="57"/>
      <c r="F31" s="58"/>
      <c r="G31" s="36">
        <f>Table13267516[[#Totals],[Reimbursement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SUM(Table13267516['# of hours])</f>
        <v>0</v>
      </c>
      <c r="D41" s="35">
        <f>SUM(Table13267516['# of people reached])</f>
        <v>0</v>
      </c>
      <c r="E41" s="35">
        <f>SUM(Table13267516['# of participants])</f>
        <v>0</v>
      </c>
      <c r="F41" s="35">
        <f>SUBTOTAL(109,Table13267516['# of items handed out])</f>
        <v>0</v>
      </c>
      <c r="G41" s="37">
        <f>SUBTOTAL(109,Table13267516[Reimbursement Amount Requested])</f>
        <v>0</v>
      </c>
      <c r="H41" s="52"/>
    </row>
    <row r="42" spans="1:8" x14ac:dyDescent="0.3">
      <c r="H42" s="52"/>
    </row>
    <row r="43" spans="1:8" ht="26.25" x14ac:dyDescent="0.45">
      <c r="A43" s="56" t="s">
        <v>146</v>
      </c>
      <c r="B43" s="57"/>
      <c r="C43" s="57"/>
      <c r="D43" s="57"/>
      <c r="E43" s="57"/>
      <c r="F43" s="58"/>
      <c r="G43" s="36">
        <f>Table132678517[[#Totals],[Reimbursement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SUM(Table132678517['# of hours])</f>
        <v>0</v>
      </c>
      <c r="D53" s="35">
        <f>SUM(Table132678517['# of people reached])</f>
        <v>0</v>
      </c>
      <c r="E53" s="35">
        <f>SUM(Table132678517['# of participants])</f>
        <v>0</v>
      </c>
      <c r="F53" s="35">
        <f>SUBTOTAL(109,Table132678517['# of items handed out])</f>
        <v>0</v>
      </c>
      <c r="G53" s="37">
        <f>SUBTOTAL(109,Table132678517[Reimbursement Amount Requested])</f>
        <v>0</v>
      </c>
      <c r="H53" s="52"/>
    </row>
    <row r="54" spans="1:8" x14ac:dyDescent="0.3">
      <c r="H54" s="52"/>
    </row>
    <row r="55" spans="1:8" ht="26.25" x14ac:dyDescent="0.45">
      <c r="A55" s="56" t="s">
        <v>181</v>
      </c>
      <c r="B55" s="57"/>
      <c r="C55" s="57"/>
      <c r="D55" s="57"/>
      <c r="E55" s="57"/>
      <c r="F55" s="58"/>
      <c r="G55" s="36">
        <f>Table1326789518[[#Totals],[Reimbursement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SUM(Table1326789518['# of hours])</f>
        <v>0</v>
      </c>
      <c r="D62" s="35">
        <f>SUM(Table1326789518['# of people reached])</f>
        <v>0</v>
      </c>
      <c r="E62" s="35">
        <f>SUM(Table1326789518['# of participants])</f>
        <v>0</v>
      </c>
      <c r="F62" s="35">
        <f>SUBTOTAL(109,Table1326789518['# of items handed out])</f>
        <v>0</v>
      </c>
      <c r="G62" s="31">
        <f>SUBTOTAL(109,Table1326789518[Reimbursement Amount Requested])</f>
        <v>0</v>
      </c>
      <c r="H62" s="52"/>
    </row>
    <row r="63" spans="1:8" x14ac:dyDescent="0.3">
      <c r="H63" s="52"/>
    </row>
    <row r="64" spans="1:8" ht="26.25" x14ac:dyDescent="0.45">
      <c r="A64" s="56" t="s">
        <v>186</v>
      </c>
      <c r="B64" s="57"/>
      <c r="C64" s="57"/>
      <c r="D64" s="57"/>
      <c r="E64" s="57"/>
      <c r="F64" s="58"/>
      <c r="G64" s="36">
        <f>Table13267810519[[#Totals],[Reimbursement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SUM(Table13267810519['# of hours])</f>
        <v>0</v>
      </c>
      <c r="D74" s="35">
        <f>SUM(Table13267810519['# of people reached])</f>
        <v>0</v>
      </c>
      <c r="E74" s="35">
        <f>SUM(Table13267810519['# of participants])</f>
        <v>0</v>
      </c>
      <c r="F74" s="35">
        <f>SUBTOTAL(109,Table13267810519['# of items handed out])</f>
        <v>0</v>
      </c>
      <c r="G74" s="37">
        <f>SUBTOTAL(109,Table13267810519[Reimbursement Amount Requested])</f>
        <v>0</v>
      </c>
      <c r="H74" s="52"/>
    </row>
    <row r="75" spans="1:8" x14ac:dyDescent="0.3">
      <c r="H75" s="52"/>
    </row>
    <row r="76" spans="1:8" ht="26.25" x14ac:dyDescent="0.45">
      <c r="A76" s="56" t="s">
        <v>187</v>
      </c>
      <c r="B76" s="57"/>
      <c r="C76" s="57"/>
      <c r="D76" s="57"/>
      <c r="E76" s="57"/>
      <c r="F76" s="58"/>
      <c r="G76" s="36">
        <f>Table1326781011520[[#Totals],[Reimbursement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SUM(Table1326781011520['# of hours])</f>
        <v>0</v>
      </c>
      <c r="D86" s="35">
        <f>SUM(Table1326781011520['# of people reached])</f>
        <v>0</v>
      </c>
      <c r="E86" s="35">
        <f>SUM(Table1326781011520['# of participants])</f>
        <v>0</v>
      </c>
      <c r="F86" s="35">
        <f>SUBTOTAL(109,Table1326781011520['# of items handed out])</f>
        <v>0</v>
      </c>
      <c r="G86" s="37">
        <f>SUBTOTAL(109,Table1326781011520[Reimbursement Amount Requested])</f>
        <v>0</v>
      </c>
      <c r="H86" s="52"/>
    </row>
    <row r="87" spans="1:8" x14ac:dyDescent="0.3">
      <c r="H87" s="52"/>
    </row>
    <row r="88" spans="1:8" ht="26.25" x14ac:dyDescent="0.45">
      <c r="A88" s="56" t="s">
        <v>189</v>
      </c>
      <c r="B88" s="57"/>
      <c r="C88" s="57"/>
      <c r="D88" s="57"/>
      <c r="E88" s="57"/>
      <c r="F88" s="58"/>
      <c r="G88" s="36">
        <f>Table132678101112521[[#Totals],[Reimbursement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SUM(Table132678101112521['# of hours])</f>
        <v>0</v>
      </c>
      <c r="D98" s="35">
        <f>SUM(Table132678101112521['# of people reached])</f>
        <v>0</v>
      </c>
      <c r="E98" s="35">
        <f>SUM(Table132678101112521['# of participants])</f>
        <v>0</v>
      </c>
      <c r="F98" s="35">
        <f>SUBTOTAL(109,Table132678101112521['# of items handed out])</f>
        <v>0</v>
      </c>
      <c r="G98" s="37">
        <f>SUBTOTAL(109,Table132678101112521[Reimbursement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94DFAD54-86A2-4BAE-AFE6-E48A38EA876C}">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9086E5F8-5609-44EA-8B28-2FA657E6B236}">
          <x14:formula1>
            <xm:f>Activities!$A$4:$A$27</xm:f>
          </x14:formula1>
          <xm:sqref>A7:A11</xm:sqref>
        </x14:dataValidation>
        <x14:dataValidation type="list" allowBlank="1" showInputMessage="1" showErrorMessage="1" xr:uid="{154B3460-8AB3-4538-8CF1-178B81EB7CA7}">
          <x14:formula1>
            <xm:f>Activities!$A$49:$A$59</xm:f>
          </x14:formula1>
          <xm:sqref>A36:A40</xm:sqref>
        </x14:dataValidation>
        <x14:dataValidation type="list" allowBlank="1" showInputMessage="1" showErrorMessage="1" xr:uid="{11ACB3CD-157C-4290-8B67-3DAE3C59A73B}">
          <x14:formula1>
            <xm:f>Activities!$A$30:$A$46</xm:f>
          </x14:formula1>
          <xm:sqref>A19:A28</xm:sqref>
        </x14:dataValidation>
        <x14:dataValidation type="list" allowBlank="1" showInputMessage="1" showErrorMessage="1" xr:uid="{122B8497-A7E6-46BF-92E2-17F10758A28E}">
          <x14:formula1>
            <xm:f>Activities!$A$87</xm:f>
          </x14:formula1>
          <xm:sqref>A60:A61</xm:sqref>
        </x14:dataValidation>
        <x14:dataValidation type="list" allowBlank="1" showInputMessage="1" showErrorMessage="1" xr:uid="{844E84A3-8558-4A3F-8997-F7E53CDF4A22}">
          <x14:formula1>
            <xm:f>Activities!$A$90:$A$100</xm:f>
          </x14:formula1>
          <xm:sqref>A69:A73</xm:sqref>
        </x14:dataValidation>
        <x14:dataValidation type="list" allowBlank="1" showInputMessage="1" showErrorMessage="1" xr:uid="{424BD9FF-43F3-4235-A1B4-8C506358D17F}">
          <x14:formula1>
            <xm:f>Activities!$A$103:$A$109</xm:f>
          </x14:formula1>
          <xm:sqref>A81:A85</xm:sqref>
        </x14:dataValidation>
        <x14:dataValidation type="list" allowBlank="1" showInputMessage="1" showErrorMessage="1" xr:uid="{548CC4F1-224E-4808-B46A-6BE049ACA1CB}">
          <x14:formula1>
            <xm:f>Activities!$A$112:$A$126</xm:f>
          </x14:formula1>
          <xm:sqref>A93:A97</xm:sqref>
        </x14:dataValidation>
        <x14:dataValidation type="list" allowBlank="1" showInputMessage="1" showErrorMessage="1" xr:uid="{9136DF6A-3CB5-48C6-81FD-F7F8055F7DE4}">
          <x14:formula1>
            <xm:f>Activities!$A$62:$A$84</xm:f>
          </x14:formula1>
          <xm:sqref>A49:A52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1B861-D8CF-4F7B-853C-DD617EA5D236}">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Table132522[[#Totals],[Reimbursement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SUM(Table132522['# of hours])</f>
        <v>0</v>
      </c>
      <c r="D12" s="35">
        <f>SUM(Table132522['# of people reached])</f>
        <v>0</v>
      </c>
      <c r="E12" s="35">
        <f>SUM(Table132522['# of participants])</f>
        <v>0</v>
      </c>
      <c r="F12" s="35">
        <f>SUBTOTAL(109,Table132522['# of items handed out])</f>
        <v>0</v>
      </c>
      <c r="G12" s="37">
        <f>SUBTOTAL(109,Table132522[Reimbursement Amount Requested])</f>
        <v>0</v>
      </c>
      <c r="H12" s="52"/>
    </row>
    <row r="13" spans="1:8" x14ac:dyDescent="0.3">
      <c r="H13" s="52"/>
    </row>
    <row r="14" spans="1:8" ht="26.25" x14ac:dyDescent="0.45">
      <c r="A14" s="56" t="s">
        <v>140</v>
      </c>
      <c r="B14" s="57"/>
      <c r="C14" s="57"/>
      <c r="D14" s="57"/>
      <c r="E14" s="57"/>
      <c r="F14" s="58"/>
      <c r="G14" s="36">
        <f>Table1326523[[#Totals],[Reimbursement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SUM(Table1326523['# of hours])</f>
        <v>0</v>
      </c>
      <c r="D29" s="35">
        <f>SUM(Table1326523['# of people reached])</f>
        <v>0</v>
      </c>
      <c r="E29" s="35">
        <f>SUM(Table1326523['# of participants])</f>
        <v>0</v>
      </c>
      <c r="F29" s="35">
        <f>SUBTOTAL(109,Table1326523['# of items handed out])</f>
        <v>0</v>
      </c>
      <c r="G29" s="37">
        <f>SUBTOTAL(109,Table1326523[Reimbursement Amount Requested])</f>
        <v>0</v>
      </c>
      <c r="H29" s="52"/>
    </row>
    <row r="30" spans="1:8" x14ac:dyDescent="0.3">
      <c r="H30" s="52"/>
    </row>
    <row r="31" spans="1:8" ht="26.25" x14ac:dyDescent="0.45">
      <c r="A31" s="56" t="s">
        <v>143</v>
      </c>
      <c r="B31" s="57"/>
      <c r="C31" s="57"/>
      <c r="D31" s="57"/>
      <c r="E31" s="57"/>
      <c r="F31" s="58"/>
      <c r="G31" s="36">
        <f>Table13267524[[#Totals],[Reimbursement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SUM(Table13267524['# of hours])</f>
        <v>0</v>
      </c>
      <c r="D41" s="35">
        <f>SUM(Table13267524['# of people reached])</f>
        <v>0</v>
      </c>
      <c r="E41" s="35">
        <f>SUM(Table13267524['# of participants])</f>
        <v>0</v>
      </c>
      <c r="F41" s="35">
        <f>SUBTOTAL(109,Table13267524['# of items handed out])</f>
        <v>0</v>
      </c>
      <c r="G41" s="37">
        <f>SUBTOTAL(109,Table13267524[Reimbursement Amount Requested])</f>
        <v>0</v>
      </c>
      <c r="H41" s="52"/>
    </row>
    <row r="42" spans="1:8" x14ac:dyDescent="0.3">
      <c r="H42" s="52"/>
    </row>
    <row r="43" spans="1:8" ht="26.25" x14ac:dyDescent="0.45">
      <c r="A43" s="56" t="s">
        <v>146</v>
      </c>
      <c r="B43" s="57"/>
      <c r="C43" s="57"/>
      <c r="D43" s="57"/>
      <c r="E43" s="57"/>
      <c r="F43" s="58"/>
      <c r="G43" s="36">
        <f>Table132678525[[#Totals],[Reimbursement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SUM(Table132678525['# of hours])</f>
        <v>0</v>
      </c>
      <c r="D53" s="35">
        <f>SUM(Table132678525['# of people reached])</f>
        <v>0</v>
      </c>
      <c r="E53" s="35">
        <f>SUM(Table132678525['# of participants])</f>
        <v>0</v>
      </c>
      <c r="F53" s="35">
        <f>SUBTOTAL(109,Table132678525['# of items handed out])</f>
        <v>0</v>
      </c>
      <c r="G53" s="37">
        <f>SUBTOTAL(109,Table132678525[Reimbursement Amount Requested])</f>
        <v>0</v>
      </c>
      <c r="H53" s="52"/>
    </row>
    <row r="54" spans="1:8" x14ac:dyDescent="0.3">
      <c r="H54" s="52"/>
    </row>
    <row r="55" spans="1:8" ht="26.25" x14ac:dyDescent="0.45">
      <c r="A55" s="56" t="s">
        <v>181</v>
      </c>
      <c r="B55" s="57"/>
      <c r="C55" s="57"/>
      <c r="D55" s="57"/>
      <c r="E55" s="57"/>
      <c r="F55" s="58"/>
      <c r="G55" s="36">
        <f>Table1326789526[[#Totals],[Reimbursement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SUM(Table1326789526['# of hours])</f>
        <v>0</v>
      </c>
      <c r="D62" s="35">
        <f>SUM(Table1326789526['# of people reached])</f>
        <v>0</v>
      </c>
      <c r="E62" s="35">
        <f>SUM(Table1326789526['# of participants])</f>
        <v>0</v>
      </c>
      <c r="F62" s="35">
        <f>SUBTOTAL(109,Table1326789526['# of items handed out])</f>
        <v>0</v>
      </c>
      <c r="G62" s="31">
        <f>SUBTOTAL(109,Table1326789526[Reimbursement Amount Requested])</f>
        <v>0</v>
      </c>
      <c r="H62" s="52"/>
    </row>
    <row r="63" spans="1:8" x14ac:dyDescent="0.3">
      <c r="H63" s="52"/>
    </row>
    <row r="64" spans="1:8" ht="26.25" x14ac:dyDescent="0.45">
      <c r="A64" s="56" t="s">
        <v>186</v>
      </c>
      <c r="B64" s="57"/>
      <c r="C64" s="57"/>
      <c r="D64" s="57"/>
      <c r="E64" s="57"/>
      <c r="F64" s="58"/>
      <c r="G64" s="36">
        <f>Table13267810527[[#Totals],[Reimbursement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SUM(Table13267810527['# of hours])</f>
        <v>0</v>
      </c>
      <c r="D74" s="35">
        <f>SUM(Table13267810527['# of people reached])</f>
        <v>0</v>
      </c>
      <c r="E74" s="35">
        <f>SUM(Table13267810527['# of participants])</f>
        <v>0</v>
      </c>
      <c r="F74" s="35">
        <f>SUBTOTAL(109,Table13267810527['# of items handed out])</f>
        <v>0</v>
      </c>
      <c r="G74" s="37">
        <f>SUBTOTAL(109,Table13267810527[Reimbursement Amount Requested])</f>
        <v>0</v>
      </c>
      <c r="H74" s="52"/>
    </row>
    <row r="75" spans="1:8" x14ac:dyDescent="0.3">
      <c r="H75" s="52"/>
    </row>
    <row r="76" spans="1:8" ht="26.25" x14ac:dyDescent="0.45">
      <c r="A76" s="56" t="s">
        <v>187</v>
      </c>
      <c r="B76" s="57"/>
      <c r="C76" s="57"/>
      <c r="D76" s="57"/>
      <c r="E76" s="57"/>
      <c r="F76" s="58"/>
      <c r="G76" s="36">
        <f>Table1326781011528[[#Totals],[Reimbursement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SUM(Table1326781011528['# of hours])</f>
        <v>0</v>
      </c>
      <c r="D86" s="35">
        <f>SUM(Table1326781011528['# of people reached])</f>
        <v>0</v>
      </c>
      <c r="E86" s="35">
        <f>SUM(Table1326781011528['# of participants])</f>
        <v>0</v>
      </c>
      <c r="F86" s="35">
        <f>SUBTOTAL(109,Table1326781011528['# of items handed out])</f>
        <v>0</v>
      </c>
      <c r="G86" s="37">
        <f>SUBTOTAL(109,Table1326781011528[Reimbursement Amount Requested])</f>
        <v>0</v>
      </c>
      <c r="H86" s="52"/>
    </row>
    <row r="87" spans="1:8" x14ac:dyDescent="0.3">
      <c r="H87" s="52"/>
    </row>
    <row r="88" spans="1:8" ht="26.25" x14ac:dyDescent="0.45">
      <c r="A88" s="56" t="s">
        <v>189</v>
      </c>
      <c r="B88" s="57"/>
      <c r="C88" s="57"/>
      <c r="D88" s="57"/>
      <c r="E88" s="57"/>
      <c r="F88" s="58"/>
      <c r="G88" s="36">
        <f>Table132678101112529[[#Totals],[Reimbursement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SUM(Table132678101112529['# of hours])</f>
        <v>0</v>
      </c>
      <c r="D98" s="35">
        <f>SUM(Table132678101112529['# of people reached])</f>
        <v>0</v>
      </c>
      <c r="E98" s="35">
        <f>SUM(Table132678101112529['# of participants])</f>
        <v>0</v>
      </c>
      <c r="F98" s="35">
        <f>SUBTOTAL(109,Table132678101112529['# of items handed out])</f>
        <v>0</v>
      </c>
      <c r="G98" s="37">
        <f>SUBTOTAL(109,Table132678101112529[Reimbursement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825B2C89-2BBB-415C-8C4A-405C7B59339F}">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3F562D72-0FAC-4443-8E38-D5B09AB3A674}">
          <x14:formula1>
            <xm:f>Activities!$A$62:$A$84</xm:f>
          </x14:formula1>
          <xm:sqref>A49:A52</xm:sqref>
        </x14:dataValidation>
        <x14:dataValidation type="list" allowBlank="1" showInputMessage="1" showErrorMessage="1" xr:uid="{4D108C6F-7F75-43F0-8C82-6BC965564F8B}">
          <x14:formula1>
            <xm:f>Activities!$A$112:$A$126</xm:f>
          </x14:formula1>
          <xm:sqref>A93:A97</xm:sqref>
        </x14:dataValidation>
        <x14:dataValidation type="list" allowBlank="1" showInputMessage="1" showErrorMessage="1" xr:uid="{62CE654F-1658-4BE2-A813-C31A1785953D}">
          <x14:formula1>
            <xm:f>Activities!$A$103:$A$109</xm:f>
          </x14:formula1>
          <xm:sqref>A81:A85</xm:sqref>
        </x14:dataValidation>
        <x14:dataValidation type="list" allowBlank="1" showInputMessage="1" showErrorMessage="1" xr:uid="{27E97172-3DA6-4445-96E2-C89EA8D5BACC}">
          <x14:formula1>
            <xm:f>Activities!$A$90:$A$100</xm:f>
          </x14:formula1>
          <xm:sqref>A69:A73</xm:sqref>
        </x14:dataValidation>
        <x14:dataValidation type="list" allowBlank="1" showInputMessage="1" showErrorMessage="1" xr:uid="{BA36D395-6FBB-4196-8245-02113352AF2E}">
          <x14:formula1>
            <xm:f>Activities!$A$87</xm:f>
          </x14:formula1>
          <xm:sqref>A60:A61</xm:sqref>
        </x14:dataValidation>
        <x14:dataValidation type="list" allowBlank="1" showInputMessage="1" showErrorMessage="1" xr:uid="{304B84C7-F423-4C8F-A3A8-3C86048D0DD2}">
          <x14:formula1>
            <xm:f>Activities!$A$30:$A$46</xm:f>
          </x14:formula1>
          <xm:sqref>A19:A28</xm:sqref>
        </x14:dataValidation>
        <x14:dataValidation type="list" allowBlank="1" showInputMessage="1" showErrorMessage="1" xr:uid="{D4228925-D124-4013-A42D-707008BE7C3F}">
          <x14:formula1>
            <xm:f>Activities!$A$49:$A$59</xm:f>
          </x14:formula1>
          <xm:sqref>A36:A40</xm:sqref>
        </x14:dataValidation>
        <x14:dataValidation type="list" allowBlank="1" showInputMessage="1" showErrorMessage="1" xr:uid="{C9A73CBD-FF46-4F7D-B1A3-ADC0AE88B8AD}">
          <x14:formula1>
            <xm:f>Activities!$A$4:$A$27</xm:f>
          </x14:formula1>
          <xm:sqref>A7:A11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FF29-1991-448F-8331-3A04E41EE187}">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Table132530[[#Totals],[Reimbursement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SUM(Table132530['# of hours])</f>
        <v>0</v>
      </c>
      <c r="D12" s="35">
        <f>SUM(Table132530['# of people reached])</f>
        <v>0</v>
      </c>
      <c r="E12" s="35">
        <f>SUM(Table132530['# of participants])</f>
        <v>0</v>
      </c>
      <c r="F12" s="35">
        <f>SUBTOTAL(109,Table132530['# of items handed out])</f>
        <v>0</v>
      </c>
      <c r="G12" s="37">
        <f>SUBTOTAL(109,Table132530[Reimbursement Amount Requested])</f>
        <v>0</v>
      </c>
      <c r="H12" s="52"/>
    </row>
    <row r="13" spans="1:8" x14ac:dyDescent="0.3">
      <c r="H13" s="52"/>
    </row>
    <row r="14" spans="1:8" ht="26.25" x14ac:dyDescent="0.45">
      <c r="A14" s="56" t="s">
        <v>140</v>
      </c>
      <c r="B14" s="57"/>
      <c r="C14" s="57"/>
      <c r="D14" s="57"/>
      <c r="E14" s="57"/>
      <c r="F14" s="58"/>
      <c r="G14" s="36">
        <f>Table1326531[[#Totals],[Reimbursement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SUM(Table1326531['# of hours])</f>
        <v>0</v>
      </c>
      <c r="D29" s="35">
        <f>SUM(Table1326531['# of people reached])</f>
        <v>0</v>
      </c>
      <c r="E29" s="35">
        <f>SUM(Table1326531['# of participants])</f>
        <v>0</v>
      </c>
      <c r="F29" s="35">
        <f>SUBTOTAL(109,Table1326531['# of items handed out])</f>
        <v>0</v>
      </c>
      <c r="G29" s="37">
        <f>SUBTOTAL(109,Table1326531[Reimbursement Amount Requested])</f>
        <v>0</v>
      </c>
      <c r="H29" s="52"/>
    </row>
    <row r="30" spans="1:8" x14ac:dyDescent="0.3">
      <c r="H30" s="52"/>
    </row>
    <row r="31" spans="1:8" ht="26.25" x14ac:dyDescent="0.45">
      <c r="A31" s="56" t="s">
        <v>143</v>
      </c>
      <c r="B31" s="57"/>
      <c r="C31" s="57"/>
      <c r="D31" s="57"/>
      <c r="E31" s="57"/>
      <c r="F31" s="58"/>
      <c r="G31" s="36">
        <f>Table13267532[[#Totals],[Reimbursement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SUM(Table13267532['# of hours])</f>
        <v>0</v>
      </c>
      <c r="D41" s="35">
        <f>SUM(Table13267532['# of people reached])</f>
        <v>0</v>
      </c>
      <c r="E41" s="35">
        <f>SUM(Table13267532['# of participants])</f>
        <v>0</v>
      </c>
      <c r="F41" s="35">
        <f>SUBTOTAL(109,Table13267532['# of items handed out])</f>
        <v>0</v>
      </c>
      <c r="G41" s="37">
        <f>SUBTOTAL(109,Table13267532[Reimbursement Amount Requested])</f>
        <v>0</v>
      </c>
      <c r="H41" s="52"/>
    </row>
    <row r="42" spans="1:8" x14ac:dyDescent="0.3">
      <c r="H42" s="52"/>
    </row>
    <row r="43" spans="1:8" ht="26.25" x14ac:dyDescent="0.45">
      <c r="A43" s="56" t="s">
        <v>146</v>
      </c>
      <c r="B43" s="57"/>
      <c r="C43" s="57"/>
      <c r="D43" s="57"/>
      <c r="E43" s="57"/>
      <c r="F43" s="58"/>
      <c r="G43" s="36">
        <f>Table132678533[[#Totals],[Reimbursement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SUM(Table132678533['# of hours])</f>
        <v>0</v>
      </c>
      <c r="D53" s="35">
        <f>SUM(Table132678533['# of people reached])</f>
        <v>0</v>
      </c>
      <c r="E53" s="35">
        <f>SUM(Table132678533['# of participants])</f>
        <v>0</v>
      </c>
      <c r="F53" s="35">
        <f>SUBTOTAL(109,Table132678533['# of items handed out])</f>
        <v>0</v>
      </c>
      <c r="G53" s="37">
        <f>SUBTOTAL(109,Table132678533[Reimbursement Amount Requested])</f>
        <v>0</v>
      </c>
      <c r="H53" s="52"/>
    </row>
    <row r="54" spans="1:8" x14ac:dyDescent="0.3">
      <c r="H54" s="52"/>
    </row>
    <row r="55" spans="1:8" ht="26.25" x14ac:dyDescent="0.45">
      <c r="A55" s="56" t="s">
        <v>181</v>
      </c>
      <c r="B55" s="57"/>
      <c r="C55" s="57"/>
      <c r="D55" s="57"/>
      <c r="E55" s="57"/>
      <c r="F55" s="58"/>
      <c r="G55" s="36">
        <f>Table1326789534[[#Totals],[Reimbursement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SUM(Table1326789534['# of hours])</f>
        <v>0</v>
      </c>
      <c r="D62" s="35">
        <f>SUM(Table1326789534['# of people reached])</f>
        <v>0</v>
      </c>
      <c r="E62" s="35">
        <f>SUM(Table1326789534['# of participants])</f>
        <v>0</v>
      </c>
      <c r="F62" s="35">
        <f>SUBTOTAL(109,Table1326789534['# of items handed out])</f>
        <v>0</v>
      </c>
      <c r="G62" s="31">
        <f>SUBTOTAL(109,Table1326789534[Reimbursement Amount Requested])</f>
        <v>0</v>
      </c>
      <c r="H62" s="52"/>
    </row>
    <row r="63" spans="1:8" x14ac:dyDescent="0.3">
      <c r="H63" s="52"/>
    </row>
    <row r="64" spans="1:8" ht="26.25" x14ac:dyDescent="0.45">
      <c r="A64" s="56" t="s">
        <v>186</v>
      </c>
      <c r="B64" s="57"/>
      <c r="C64" s="57"/>
      <c r="D64" s="57"/>
      <c r="E64" s="57"/>
      <c r="F64" s="58"/>
      <c r="G64" s="36">
        <f>Table13267810535[[#Totals],[Reimbursement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SUM(Table13267810535['# of hours])</f>
        <v>0</v>
      </c>
      <c r="D74" s="35">
        <f>SUM(Table13267810535['# of people reached])</f>
        <v>0</v>
      </c>
      <c r="E74" s="35">
        <f>SUM(Table13267810535['# of participants])</f>
        <v>0</v>
      </c>
      <c r="F74" s="35">
        <f>SUBTOTAL(109,Table13267810535['# of items handed out])</f>
        <v>0</v>
      </c>
      <c r="G74" s="37">
        <f>SUBTOTAL(109,Table13267810535[Reimbursement Amount Requested])</f>
        <v>0</v>
      </c>
      <c r="H74" s="52"/>
    </row>
    <row r="75" spans="1:8" x14ac:dyDescent="0.3">
      <c r="H75" s="52"/>
    </row>
    <row r="76" spans="1:8" ht="26.25" x14ac:dyDescent="0.45">
      <c r="A76" s="56" t="s">
        <v>187</v>
      </c>
      <c r="B76" s="57"/>
      <c r="C76" s="57"/>
      <c r="D76" s="57"/>
      <c r="E76" s="57"/>
      <c r="F76" s="58"/>
      <c r="G76" s="36">
        <f>Table1326781011536[[#Totals],[Reimbursement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SUM(Table1326781011536['# of hours])</f>
        <v>0</v>
      </c>
      <c r="D86" s="35">
        <f>SUM(Table1326781011536['# of people reached])</f>
        <v>0</v>
      </c>
      <c r="E86" s="35">
        <f>SUM(Table1326781011536['# of participants])</f>
        <v>0</v>
      </c>
      <c r="F86" s="35">
        <f>SUBTOTAL(109,Table1326781011536['# of items handed out])</f>
        <v>0</v>
      </c>
      <c r="G86" s="37">
        <f>SUBTOTAL(109,Table1326781011536[Reimbursement Amount Requested])</f>
        <v>0</v>
      </c>
      <c r="H86" s="52"/>
    </row>
    <row r="87" spans="1:8" x14ac:dyDescent="0.3">
      <c r="H87" s="52"/>
    </row>
    <row r="88" spans="1:8" ht="26.25" x14ac:dyDescent="0.45">
      <c r="A88" s="56" t="s">
        <v>189</v>
      </c>
      <c r="B88" s="57"/>
      <c r="C88" s="57"/>
      <c r="D88" s="57"/>
      <c r="E88" s="57"/>
      <c r="F88" s="58"/>
      <c r="G88" s="36">
        <f>Table132678101112537[[#Totals],[Reimbursement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SUM(Table132678101112537['# of hours])</f>
        <v>0</v>
      </c>
      <c r="D98" s="35">
        <f>SUM(Table132678101112537['# of people reached])</f>
        <v>0</v>
      </c>
      <c r="E98" s="35">
        <f>SUM(Table132678101112537['# of participants])</f>
        <v>0</v>
      </c>
      <c r="F98" s="35">
        <f>SUBTOTAL(109,Table132678101112537['# of items handed out])</f>
        <v>0</v>
      </c>
      <c r="G98" s="37">
        <f>SUBTOTAL(109,Table132678101112537[Reimbursement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8BF828C5-6ECC-4AD9-89CA-A3E6967323D4}">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BF5DAD10-F021-478E-BF13-D553E80D3865}">
          <x14:formula1>
            <xm:f>Activities!$A$4:$A$27</xm:f>
          </x14:formula1>
          <xm:sqref>A7:A11</xm:sqref>
        </x14:dataValidation>
        <x14:dataValidation type="list" allowBlank="1" showInputMessage="1" showErrorMessage="1" xr:uid="{AB95868A-9235-4B3E-B3F5-0646309128F6}">
          <x14:formula1>
            <xm:f>Activities!$A$49:$A$59</xm:f>
          </x14:formula1>
          <xm:sqref>A36:A40</xm:sqref>
        </x14:dataValidation>
        <x14:dataValidation type="list" allowBlank="1" showInputMessage="1" showErrorMessage="1" xr:uid="{18A12EA5-0E2A-4C2E-B4B2-9149985993F8}">
          <x14:formula1>
            <xm:f>Activities!$A$30:$A$46</xm:f>
          </x14:formula1>
          <xm:sqref>A19:A28</xm:sqref>
        </x14:dataValidation>
        <x14:dataValidation type="list" allowBlank="1" showInputMessage="1" showErrorMessage="1" xr:uid="{0FA67379-9DBF-4879-92D7-C5767876F0C7}">
          <x14:formula1>
            <xm:f>Activities!$A$87</xm:f>
          </x14:formula1>
          <xm:sqref>A60:A61</xm:sqref>
        </x14:dataValidation>
        <x14:dataValidation type="list" allowBlank="1" showInputMessage="1" showErrorMessage="1" xr:uid="{2AAA7F43-5B07-4403-989A-8C6CCB66C472}">
          <x14:formula1>
            <xm:f>Activities!$A$90:$A$100</xm:f>
          </x14:formula1>
          <xm:sqref>A69:A73</xm:sqref>
        </x14:dataValidation>
        <x14:dataValidation type="list" allowBlank="1" showInputMessage="1" showErrorMessage="1" xr:uid="{847AF06A-E52D-4C48-B30F-FF24C39F88EB}">
          <x14:formula1>
            <xm:f>Activities!$A$103:$A$109</xm:f>
          </x14:formula1>
          <xm:sqref>A81:A85</xm:sqref>
        </x14:dataValidation>
        <x14:dataValidation type="list" allowBlank="1" showInputMessage="1" showErrorMessage="1" xr:uid="{B6FD1D69-9ED8-4CA8-9824-0583505E41E2}">
          <x14:formula1>
            <xm:f>Activities!$A$112:$A$126</xm:f>
          </x14:formula1>
          <xm:sqref>A93:A97</xm:sqref>
        </x14:dataValidation>
        <x14:dataValidation type="list" allowBlank="1" showInputMessage="1" showErrorMessage="1" xr:uid="{C67CB3DB-8DB1-4B1C-8CAA-D95F699DFFDA}">
          <x14:formula1>
            <xm:f>Activities!$A$62:$A$84</xm:f>
          </x14:formula1>
          <xm:sqref>A49:A52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FA8C-B8E7-42A6-9F16-56DF08AB0894}">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Table132538[[#Totals],[Reimbursement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SUM(Table132538['# of hours])</f>
        <v>0</v>
      </c>
      <c r="D12" s="35">
        <f>SUM(Table132538['# of people reached])</f>
        <v>0</v>
      </c>
      <c r="E12" s="35">
        <f>SUM(Table132538['# of participants])</f>
        <v>0</v>
      </c>
      <c r="F12" s="35">
        <f>SUBTOTAL(109,Table132538['# of items handed out])</f>
        <v>0</v>
      </c>
      <c r="G12" s="37">
        <f>SUBTOTAL(109,Table132538[Reimbursement Amount Requested])</f>
        <v>0</v>
      </c>
      <c r="H12" s="52"/>
    </row>
    <row r="13" spans="1:8" x14ac:dyDescent="0.3">
      <c r="H13" s="52"/>
    </row>
    <row r="14" spans="1:8" ht="26.25" x14ac:dyDescent="0.45">
      <c r="A14" s="56" t="s">
        <v>140</v>
      </c>
      <c r="B14" s="57"/>
      <c r="C14" s="57"/>
      <c r="D14" s="57"/>
      <c r="E14" s="57"/>
      <c r="F14" s="58"/>
      <c r="G14" s="36">
        <f>Table1326539[[#Totals],[Reimbursement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SUM(Table1326539['# of hours])</f>
        <v>0</v>
      </c>
      <c r="D29" s="35">
        <f>SUM(Table1326539['# of people reached])</f>
        <v>0</v>
      </c>
      <c r="E29" s="35">
        <f>SUM(Table1326539['# of participants])</f>
        <v>0</v>
      </c>
      <c r="F29" s="35">
        <f>SUBTOTAL(109,Table1326539['# of items handed out])</f>
        <v>0</v>
      </c>
      <c r="G29" s="37">
        <f>SUBTOTAL(109,Table1326539[Reimbursement Amount Requested])</f>
        <v>0</v>
      </c>
      <c r="H29" s="52"/>
    </row>
    <row r="30" spans="1:8" x14ac:dyDescent="0.3">
      <c r="H30" s="52"/>
    </row>
    <row r="31" spans="1:8" ht="26.25" x14ac:dyDescent="0.45">
      <c r="A31" s="56" t="s">
        <v>143</v>
      </c>
      <c r="B31" s="57"/>
      <c r="C31" s="57"/>
      <c r="D31" s="57"/>
      <c r="E31" s="57"/>
      <c r="F31" s="58"/>
      <c r="G31" s="36">
        <f>Table13267540[[#Totals],[Reimbursement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SUM(Table13267540['# of hours])</f>
        <v>0</v>
      </c>
      <c r="D41" s="35">
        <f>SUM(Table13267540['# of people reached])</f>
        <v>0</v>
      </c>
      <c r="E41" s="35">
        <f>SUM(Table13267540['# of participants])</f>
        <v>0</v>
      </c>
      <c r="F41" s="35">
        <f>SUBTOTAL(109,Table13267540['# of items handed out])</f>
        <v>0</v>
      </c>
      <c r="G41" s="37">
        <f>SUBTOTAL(109,Table13267540[Reimbursement Amount Requested])</f>
        <v>0</v>
      </c>
      <c r="H41" s="52"/>
    </row>
    <row r="42" spans="1:8" x14ac:dyDescent="0.3">
      <c r="H42" s="52"/>
    </row>
    <row r="43" spans="1:8" ht="26.25" x14ac:dyDescent="0.45">
      <c r="A43" s="56" t="s">
        <v>146</v>
      </c>
      <c r="B43" s="57"/>
      <c r="C43" s="57"/>
      <c r="D43" s="57"/>
      <c r="E43" s="57"/>
      <c r="F43" s="58"/>
      <c r="G43" s="36">
        <f>Table132678541[[#Totals],[Reimbursement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SUM(Table132678541['# of hours])</f>
        <v>0</v>
      </c>
      <c r="D53" s="35">
        <f>SUM(Table132678541['# of people reached])</f>
        <v>0</v>
      </c>
      <c r="E53" s="35">
        <f>SUM(Table132678541['# of participants])</f>
        <v>0</v>
      </c>
      <c r="F53" s="35">
        <f>SUBTOTAL(109,Table132678541['# of items handed out])</f>
        <v>0</v>
      </c>
      <c r="G53" s="37">
        <f>SUBTOTAL(109,Table132678541[Reimbursement Amount Requested])</f>
        <v>0</v>
      </c>
      <c r="H53" s="52"/>
    </row>
    <row r="54" spans="1:8" x14ac:dyDescent="0.3">
      <c r="H54" s="52"/>
    </row>
    <row r="55" spans="1:8" ht="26.25" x14ac:dyDescent="0.45">
      <c r="A55" s="56" t="s">
        <v>181</v>
      </c>
      <c r="B55" s="57"/>
      <c r="C55" s="57"/>
      <c r="D55" s="57"/>
      <c r="E55" s="57"/>
      <c r="F55" s="58"/>
      <c r="G55" s="36">
        <f>Table1326789542[[#Totals],[Reimbursement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SUM(Table1326789542['# of hours])</f>
        <v>0</v>
      </c>
      <c r="D62" s="35">
        <f>SUM(Table1326789542['# of people reached])</f>
        <v>0</v>
      </c>
      <c r="E62" s="35">
        <f>SUM(Table1326789542['# of participants])</f>
        <v>0</v>
      </c>
      <c r="F62" s="35">
        <f>SUBTOTAL(109,Table1326789542['# of items handed out])</f>
        <v>0</v>
      </c>
      <c r="G62" s="31">
        <f>SUBTOTAL(109,Table1326789542[Reimbursement Amount Requested])</f>
        <v>0</v>
      </c>
      <c r="H62" s="52"/>
    </row>
    <row r="63" spans="1:8" x14ac:dyDescent="0.3">
      <c r="H63" s="52"/>
    </row>
    <row r="64" spans="1:8" ht="26.25" x14ac:dyDescent="0.45">
      <c r="A64" s="56" t="s">
        <v>186</v>
      </c>
      <c r="B64" s="57"/>
      <c r="C64" s="57"/>
      <c r="D64" s="57"/>
      <c r="E64" s="57"/>
      <c r="F64" s="58"/>
      <c r="G64" s="36">
        <f>Table13267810543[[#Totals],[Reimbursement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SUM(Table13267810543['# of hours])</f>
        <v>0</v>
      </c>
      <c r="D74" s="35">
        <f>SUM(Table13267810543['# of people reached])</f>
        <v>0</v>
      </c>
      <c r="E74" s="35">
        <f>SUM(Table13267810543['# of participants])</f>
        <v>0</v>
      </c>
      <c r="F74" s="35">
        <f>SUBTOTAL(109,Table13267810543['# of items handed out])</f>
        <v>0</v>
      </c>
      <c r="G74" s="37">
        <f>SUBTOTAL(109,Table13267810543[Reimbursement Amount Requested])</f>
        <v>0</v>
      </c>
      <c r="H74" s="52"/>
    </row>
    <row r="75" spans="1:8" x14ac:dyDescent="0.3">
      <c r="H75" s="52"/>
    </row>
    <row r="76" spans="1:8" ht="26.25" x14ac:dyDescent="0.45">
      <c r="A76" s="56" t="s">
        <v>187</v>
      </c>
      <c r="B76" s="57"/>
      <c r="C76" s="57"/>
      <c r="D76" s="57"/>
      <c r="E76" s="57"/>
      <c r="F76" s="58"/>
      <c r="G76" s="36">
        <f>Table1326781011544[[#Totals],[Reimbursement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SUM(Table1326781011544['# of hours])</f>
        <v>0</v>
      </c>
      <c r="D86" s="35">
        <f>SUM(Table1326781011544['# of people reached])</f>
        <v>0</v>
      </c>
      <c r="E86" s="35">
        <f>SUM(Table1326781011544['# of participants])</f>
        <v>0</v>
      </c>
      <c r="F86" s="35">
        <f>SUBTOTAL(109,Table1326781011544['# of items handed out])</f>
        <v>0</v>
      </c>
      <c r="G86" s="37">
        <f>SUBTOTAL(109,Table1326781011544[Reimbursement Amount Requested])</f>
        <v>0</v>
      </c>
      <c r="H86" s="52"/>
    </row>
    <row r="87" spans="1:8" x14ac:dyDescent="0.3">
      <c r="H87" s="52"/>
    </row>
    <row r="88" spans="1:8" ht="26.25" x14ac:dyDescent="0.45">
      <c r="A88" s="56" t="s">
        <v>189</v>
      </c>
      <c r="B88" s="57"/>
      <c r="C88" s="57"/>
      <c r="D88" s="57"/>
      <c r="E88" s="57"/>
      <c r="F88" s="58"/>
      <c r="G88" s="36">
        <f>Table132678101112545[[#Totals],[Reimbursement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SUM(Table132678101112545['# of hours])</f>
        <v>0</v>
      </c>
      <c r="D98" s="35">
        <f>SUM(Table132678101112545['# of people reached])</f>
        <v>0</v>
      </c>
      <c r="E98" s="35">
        <f>SUM(Table132678101112545['# of participants])</f>
        <v>0</v>
      </c>
      <c r="F98" s="35">
        <f>SUBTOTAL(109,Table132678101112545['# of items handed out])</f>
        <v>0</v>
      </c>
      <c r="G98" s="37">
        <f>SUBTOTAL(109,Table132678101112545[Reimbursement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B3C9C8AD-278F-4C20-8D84-64ACAF90C901}">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909496B2-04BF-4B73-A1E6-08985C0C6AAC}">
          <x14:formula1>
            <xm:f>Activities!$A$62:$A$84</xm:f>
          </x14:formula1>
          <xm:sqref>A49:A52</xm:sqref>
        </x14:dataValidation>
        <x14:dataValidation type="list" allowBlank="1" showInputMessage="1" showErrorMessage="1" xr:uid="{93F87FEB-B593-4EC5-AAF9-B4686EEAAC37}">
          <x14:formula1>
            <xm:f>Activities!$A$112:$A$126</xm:f>
          </x14:formula1>
          <xm:sqref>A93:A97</xm:sqref>
        </x14:dataValidation>
        <x14:dataValidation type="list" allowBlank="1" showInputMessage="1" showErrorMessage="1" xr:uid="{E80A010B-A53D-4ED8-A0BB-9DEE8E39181A}">
          <x14:formula1>
            <xm:f>Activities!$A$103:$A$109</xm:f>
          </x14:formula1>
          <xm:sqref>A81:A85</xm:sqref>
        </x14:dataValidation>
        <x14:dataValidation type="list" allowBlank="1" showInputMessage="1" showErrorMessage="1" xr:uid="{8640DC96-43BD-4917-8ABC-A4483982EB15}">
          <x14:formula1>
            <xm:f>Activities!$A$90:$A$100</xm:f>
          </x14:formula1>
          <xm:sqref>A69:A73</xm:sqref>
        </x14:dataValidation>
        <x14:dataValidation type="list" allowBlank="1" showInputMessage="1" showErrorMessage="1" xr:uid="{FC3607D9-2DBE-42BD-91E6-6D8654F99E6C}">
          <x14:formula1>
            <xm:f>Activities!$A$87</xm:f>
          </x14:formula1>
          <xm:sqref>A60:A61</xm:sqref>
        </x14:dataValidation>
        <x14:dataValidation type="list" allowBlank="1" showInputMessage="1" showErrorMessage="1" xr:uid="{18E11052-A088-4BD1-BAF5-4722BE9E9D1E}">
          <x14:formula1>
            <xm:f>Activities!$A$30:$A$46</xm:f>
          </x14:formula1>
          <xm:sqref>A19:A28</xm:sqref>
        </x14:dataValidation>
        <x14:dataValidation type="list" allowBlank="1" showInputMessage="1" showErrorMessage="1" xr:uid="{4FB417B8-691E-469A-8416-B3D11CCE73D9}">
          <x14:formula1>
            <xm:f>Activities!$A$49:$A$59</xm:f>
          </x14:formula1>
          <xm:sqref>A36:A40</xm:sqref>
        </x14:dataValidation>
        <x14:dataValidation type="list" allowBlank="1" showInputMessage="1" showErrorMessage="1" xr:uid="{5E73C5DF-BC0B-4C68-8EAC-B32AA82AF94D}">
          <x14:formula1>
            <xm:f>Activities!$A$4:$A$27</xm:f>
          </x14:formula1>
          <xm:sqref>A7:A11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38E4C-C770-4AB5-BF4E-972A6E9748DE}">
  <sheetPr>
    <tabColor rgb="FFD34727"/>
  </sheetPr>
  <dimension ref="A1:M32"/>
  <sheetViews>
    <sheetView view="pageLayout" zoomScaleNormal="100" workbookViewId="0">
      <selection activeCell="H6" sqref="H6"/>
    </sheetView>
  </sheetViews>
  <sheetFormatPr defaultRowHeight="16.5" x14ac:dyDescent="0.3"/>
  <cols>
    <col min="1" max="1" width="15.25" customWidth="1"/>
    <col min="2" max="2" width="9.125" customWidth="1"/>
    <col min="3" max="3" width="11.75" customWidth="1"/>
    <col min="4" max="4" width="9.125" customWidth="1"/>
    <col min="5" max="5" width="12.5" customWidth="1"/>
    <col min="6" max="6" width="9.875" customWidth="1"/>
    <col min="7" max="7" width="12.625" customWidth="1"/>
    <col min="8" max="8" width="7.25" customWidth="1"/>
  </cols>
  <sheetData>
    <row r="1" spans="1:8" ht="26.25" x14ac:dyDescent="0.45">
      <c r="A1" s="73" t="s">
        <v>82</v>
      </c>
      <c r="B1" s="73"/>
      <c r="C1" s="73"/>
      <c r="D1" s="73"/>
      <c r="E1" s="73"/>
      <c r="F1" s="73"/>
      <c r="G1" s="73"/>
      <c r="H1" s="73"/>
    </row>
    <row r="2" spans="1:8" ht="17.25" thickBot="1" x14ac:dyDescent="0.35">
      <c r="A2" s="5"/>
      <c r="B2" s="6"/>
      <c r="C2" s="1"/>
      <c r="D2" s="1"/>
      <c r="E2" s="1"/>
      <c r="F2" s="1"/>
      <c r="G2" s="1"/>
      <c r="H2" s="1"/>
    </row>
    <row r="3" spans="1:8" ht="17.25" thickBot="1" x14ac:dyDescent="0.35">
      <c r="A3" s="71" t="s">
        <v>84</v>
      </c>
      <c r="B3" s="72"/>
      <c r="C3" s="2">
        <v>187500</v>
      </c>
      <c r="D3" s="3"/>
      <c r="E3" s="71" t="s">
        <v>85</v>
      </c>
      <c r="F3" s="72"/>
      <c r="G3" s="4">
        <f>C3-B20</f>
        <v>187500</v>
      </c>
      <c r="H3" s="1"/>
    </row>
    <row r="4" spans="1:8" ht="17.25" thickBot="1" x14ac:dyDescent="0.35">
      <c r="A4" s="71" t="s">
        <v>83</v>
      </c>
      <c r="B4" s="72"/>
      <c r="C4" s="2">
        <v>62500</v>
      </c>
      <c r="D4" s="3"/>
      <c r="E4" s="71" t="s">
        <v>194</v>
      </c>
      <c r="F4" s="72"/>
      <c r="G4" s="4">
        <f>C4-B20</f>
        <v>62500</v>
      </c>
      <c r="H4" s="1"/>
    </row>
    <row r="5" spans="1:8" x14ac:dyDescent="0.3">
      <c r="A5" s="5"/>
      <c r="B5" s="6"/>
      <c r="C5" s="1"/>
      <c r="D5" s="1"/>
      <c r="E5" s="1"/>
      <c r="F5" s="1"/>
      <c r="G5" s="1"/>
      <c r="H5" s="1"/>
    </row>
    <row r="6" spans="1:8" x14ac:dyDescent="0.3">
      <c r="A6" s="12" t="s">
        <v>99</v>
      </c>
      <c r="B6" s="12"/>
      <c r="C6" s="12"/>
      <c r="D6" s="12"/>
      <c r="E6" s="8"/>
      <c r="F6" s="8"/>
      <c r="G6" s="8"/>
      <c r="H6" s="8"/>
    </row>
    <row r="7" spans="1:8" x14ac:dyDescent="0.3">
      <c r="A7" s="9"/>
      <c r="B7" s="7"/>
      <c r="C7" s="7"/>
      <c r="D7" s="7"/>
      <c r="E7" s="1"/>
      <c r="F7" s="1"/>
      <c r="G7" s="1"/>
      <c r="H7" s="1"/>
    </row>
    <row r="8" spans="1:8" x14ac:dyDescent="0.3">
      <c r="A8" s="11" t="s">
        <v>87</v>
      </c>
      <c r="B8" s="70">
        <f>'October 2023'!G100</f>
        <v>0</v>
      </c>
      <c r="C8" s="70"/>
      <c r="D8" s="1"/>
      <c r="E8" s="1"/>
      <c r="F8" s="1"/>
      <c r="G8" s="1"/>
      <c r="H8" s="1"/>
    </row>
    <row r="9" spans="1:8" x14ac:dyDescent="0.3">
      <c r="A9" s="11" t="s">
        <v>88</v>
      </c>
      <c r="B9" s="70">
        <f>'November 2023'!G100</f>
        <v>0</v>
      </c>
      <c r="C9" s="70"/>
      <c r="D9" s="1"/>
      <c r="E9" s="1"/>
      <c r="F9" s="1"/>
      <c r="G9" s="1"/>
      <c r="H9" s="1"/>
    </row>
    <row r="10" spans="1:8" x14ac:dyDescent="0.3">
      <c r="A10" s="11" t="s">
        <v>89</v>
      </c>
      <c r="B10" s="70">
        <f>'December 2023'!G100</f>
        <v>0</v>
      </c>
      <c r="C10" s="70"/>
      <c r="D10" s="1"/>
      <c r="E10" s="1"/>
      <c r="F10" s="1"/>
      <c r="G10" s="1"/>
      <c r="H10" s="1"/>
    </row>
    <row r="11" spans="1:8" x14ac:dyDescent="0.3">
      <c r="A11" s="11" t="s">
        <v>90</v>
      </c>
      <c r="B11" s="70">
        <f>'January 2024'!G100</f>
        <v>0</v>
      </c>
      <c r="C11" s="70"/>
      <c r="D11" s="1"/>
      <c r="E11" s="1"/>
      <c r="F11" s="1"/>
      <c r="G11" s="1"/>
      <c r="H11" s="1"/>
    </row>
    <row r="12" spans="1:8" x14ac:dyDescent="0.3">
      <c r="A12" s="11" t="s">
        <v>91</v>
      </c>
      <c r="B12" s="70">
        <f>'February 2024'!G100</f>
        <v>0</v>
      </c>
      <c r="C12" s="70"/>
      <c r="D12" s="1"/>
      <c r="E12" s="1"/>
      <c r="F12" s="1"/>
      <c r="G12" s="1"/>
      <c r="H12" s="1"/>
    </row>
    <row r="13" spans="1:8" x14ac:dyDescent="0.3">
      <c r="A13" s="11" t="s">
        <v>92</v>
      </c>
      <c r="B13" s="70">
        <f>'March 2024'!G100</f>
        <v>0</v>
      </c>
      <c r="C13" s="70"/>
      <c r="D13" s="1"/>
      <c r="E13" s="1"/>
      <c r="F13" s="1"/>
      <c r="G13" s="1"/>
      <c r="H13" s="1"/>
    </row>
    <row r="14" spans="1:8" x14ac:dyDescent="0.3">
      <c r="A14" s="11" t="s">
        <v>93</v>
      </c>
      <c r="B14" s="70">
        <f>'April 2024'!G100</f>
        <v>0</v>
      </c>
      <c r="C14" s="70"/>
      <c r="D14" s="1"/>
      <c r="E14" s="1"/>
      <c r="F14" s="1"/>
      <c r="G14" s="1"/>
      <c r="H14" s="1"/>
    </row>
    <row r="15" spans="1:8" x14ac:dyDescent="0.3">
      <c r="A15" s="11" t="s">
        <v>94</v>
      </c>
      <c r="B15" s="70">
        <f>'May 2024'!G100</f>
        <v>0</v>
      </c>
      <c r="C15" s="70"/>
      <c r="D15" s="1"/>
      <c r="E15" s="1"/>
      <c r="F15" s="1"/>
      <c r="G15" s="1"/>
      <c r="H15" s="1"/>
    </row>
    <row r="16" spans="1:8" x14ac:dyDescent="0.3">
      <c r="A16" s="11" t="s">
        <v>95</v>
      </c>
      <c r="B16" s="70">
        <f>'June 2024'!G100</f>
        <v>0</v>
      </c>
      <c r="C16" s="70"/>
      <c r="D16" s="1"/>
      <c r="E16" s="1"/>
      <c r="F16" s="1"/>
      <c r="G16" s="1"/>
      <c r="H16" s="1"/>
    </row>
    <row r="17" spans="1:13" x14ac:dyDescent="0.3">
      <c r="A17" s="11" t="s">
        <v>96</v>
      </c>
      <c r="B17" s="70">
        <f>'July 2024'!G100</f>
        <v>0</v>
      </c>
      <c r="C17" s="70"/>
      <c r="D17" s="1"/>
      <c r="E17" s="1"/>
      <c r="F17" s="1"/>
      <c r="G17" s="1"/>
      <c r="H17" s="1"/>
    </row>
    <row r="18" spans="1:13" x14ac:dyDescent="0.3">
      <c r="A18" s="11" t="s">
        <v>97</v>
      </c>
      <c r="B18" s="70">
        <f>'August 2024'!G100</f>
        <v>0</v>
      </c>
      <c r="C18" s="70"/>
      <c r="D18" s="1"/>
      <c r="E18" s="1"/>
      <c r="F18" s="1"/>
      <c r="G18" s="1"/>
      <c r="H18" s="1"/>
    </row>
    <row r="19" spans="1:13" ht="17.25" thickBot="1" x14ac:dyDescent="0.35">
      <c r="A19" s="11" t="s">
        <v>98</v>
      </c>
      <c r="B19" s="75">
        <f>'September 2024'!G100</f>
        <v>0</v>
      </c>
      <c r="C19" s="75"/>
      <c r="D19" s="1"/>
      <c r="E19" s="1"/>
      <c r="F19" s="1"/>
      <c r="G19" s="1"/>
      <c r="H19" s="1"/>
    </row>
    <row r="20" spans="1:13" ht="18" thickTop="1" thickBot="1" x14ac:dyDescent="0.35">
      <c r="A20" s="10" t="s">
        <v>86</v>
      </c>
      <c r="B20" s="74">
        <f>SUM(B8:C19)</f>
        <v>0</v>
      </c>
      <c r="C20" s="74"/>
      <c r="D20" s="1"/>
      <c r="E20" s="1"/>
      <c r="F20" s="1"/>
      <c r="G20" s="1"/>
      <c r="H20" s="1"/>
      <c r="M20" t="s">
        <v>197</v>
      </c>
    </row>
    <row r="21" spans="1:13" ht="17.25" thickTop="1" x14ac:dyDescent="0.3">
      <c r="A21" s="8"/>
      <c r="B21" s="8"/>
      <c r="C21" s="8"/>
      <c r="D21" s="1"/>
      <c r="E21" s="1"/>
      <c r="F21" s="1"/>
      <c r="G21" s="1"/>
      <c r="H21" s="1"/>
      <c r="L21" s="42"/>
      <c r="M21" s="42"/>
    </row>
    <row r="22" spans="1:13" ht="16.5" customHeight="1" x14ac:dyDescent="0.3">
      <c r="D22" s="42"/>
      <c r="E22" s="42"/>
    </row>
    <row r="23" spans="1:13" x14ac:dyDescent="0.3">
      <c r="D23" s="42"/>
      <c r="E23" s="42"/>
    </row>
    <row r="24" spans="1:13" x14ac:dyDescent="0.3">
      <c r="D24" s="42"/>
      <c r="E24" s="42"/>
    </row>
    <row r="25" spans="1:13" x14ac:dyDescent="0.3">
      <c r="D25" s="42"/>
      <c r="E25" s="42"/>
    </row>
    <row r="26" spans="1:13" x14ac:dyDescent="0.3">
      <c r="D26" s="42"/>
      <c r="E26" s="42"/>
    </row>
    <row r="27" spans="1:13" x14ac:dyDescent="0.3">
      <c r="D27" s="42"/>
      <c r="E27" s="42"/>
    </row>
    <row r="28" spans="1:13" x14ac:dyDescent="0.3">
      <c r="D28" s="42"/>
      <c r="E28" s="42"/>
    </row>
    <row r="29" spans="1:13" x14ac:dyDescent="0.3">
      <c r="D29" s="42"/>
      <c r="E29" s="42"/>
    </row>
    <row r="30" spans="1:13" x14ac:dyDescent="0.3">
      <c r="D30" s="42"/>
      <c r="E30" s="42"/>
    </row>
    <row r="31" spans="1:13" x14ac:dyDescent="0.3">
      <c r="D31" s="42"/>
      <c r="E31" s="42"/>
    </row>
    <row r="32" spans="1:13" x14ac:dyDescent="0.3">
      <c r="D32" s="42"/>
      <c r="E32" s="42"/>
    </row>
  </sheetData>
  <mergeCells count="18">
    <mergeCell ref="B20:C20"/>
    <mergeCell ref="B18:C18"/>
    <mergeCell ref="B19:C19"/>
    <mergeCell ref="B16:C16"/>
    <mergeCell ref="B17:C17"/>
    <mergeCell ref="B14:C14"/>
    <mergeCell ref="B15:C15"/>
    <mergeCell ref="B12:C12"/>
    <mergeCell ref="B13:C13"/>
    <mergeCell ref="B10:C10"/>
    <mergeCell ref="B11:C11"/>
    <mergeCell ref="B8:C8"/>
    <mergeCell ref="B9:C9"/>
    <mergeCell ref="A4:B4"/>
    <mergeCell ref="E4:F4"/>
    <mergeCell ref="A1:H1"/>
    <mergeCell ref="A3:B3"/>
    <mergeCell ref="E3:F3"/>
  </mergeCells>
  <pageMargins left="0.7" right="0.29166666666666669" top="0.75" bottom="0.75" header="0.3" footer="0.3"/>
  <pageSetup orientation="portrait" horizontalDpi="1200" verticalDpi="1200" r:id="rId1"/>
  <headerFooter>
    <oddHeader>&amp;L&amp;F</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F8F3-4D00-41C9-8418-F4424EB85E40}">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Table132546[[#Totals],[Reimbursement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SUM(Table132546['# of hours])</f>
        <v>0</v>
      </c>
      <c r="D12" s="35">
        <f>SUM(Table132546['# of people reached])</f>
        <v>0</v>
      </c>
      <c r="E12" s="35">
        <f>SUM(Table132546['# of participants])</f>
        <v>0</v>
      </c>
      <c r="F12" s="35">
        <f>SUBTOTAL(109,Table132546['# of items handed out])</f>
        <v>0</v>
      </c>
      <c r="G12" s="37">
        <f>SUBTOTAL(109,Table132546[Reimbursement Amount Requested])</f>
        <v>0</v>
      </c>
      <c r="H12" s="52"/>
    </row>
    <row r="13" spans="1:8" x14ac:dyDescent="0.3">
      <c r="H13" s="52"/>
    </row>
    <row r="14" spans="1:8" ht="26.25" x14ac:dyDescent="0.45">
      <c r="A14" s="56" t="s">
        <v>140</v>
      </c>
      <c r="B14" s="57"/>
      <c r="C14" s="57"/>
      <c r="D14" s="57"/>
      <c r="E14" s="57"/>
      <c r="F14" s="58"/>
      <c r="G14" s="36">
        <f>Table1326547[[#Totals],[Reimbursement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SUM(Table1326547['# of hours])</f>
        <v>0</v>
      </c>
      <c r="D29" s="35">
        <f>SUM(Table1326547['# of people reached])</f>
        <v>0</v>
      </c>
      <c r="E29" s="35">
        <f>SUM(Table1326547['# of participants])</f>
        <v>0</v>
      </c>
      <c r="F29" s="35">
        <f>SUBTOTAL(109,Table1326547['# of items handed out])</f>
        <v>0</v>
      </c>
      <c r="G29" s="37">
        <f>SUBTOTAL(109,Table1326547[Reimbursement Amount Requested])</f>
        <v>0</v>
      </c>
      <c r="H29" s="52"/>
    </row>
    <row r="30" spans="1:8" x14ac:dyDescent="0.3">
      <c r="H30" s="52"/>
    </row>
    <row r="31" spans="1:8" ht="26.25" x14ac:dyDescent="0.45">
      <c r="A31" s="56" t="s">
        <v>143</v>
      </c>
      <c r="B31" s="57"/>
      <c r="C31" s="57"/>
      <c r="D31" s="57"/>
      <c r="E31" s="57"/>
      <c r="F31" s="58"/>
      <c r="G31" s="36">
        <f>Table13267548[[#Totals],[Reimbursement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SUM(Table13267548['# of hours])</f>
        <v>0</v>
      </c>
      <c r="D41" s="35">
        <f>SUM(Table13267548['# of people reached])</f>
        <v>0</v>
      </c>
      <c r="E41" s="35">
        <f>SUM(Table13267548['# of participants])</f>
        <v>0</v>
      </c>
      <c r="F41" s="35">
        <f>SUBTOTAL(109,Table13267548['# of items handed out])</f>
        <v>0</v>
      </c>
      <c r="G41" s="37">
        <f>SUBTOTAL(109,Table13267548[Reimbursement Amount Requested])</f>
        <v>0</v>
      </c>
      <c r="H41" s="52"/>
    </row>
    <row r="42" spans="1:8" x14ac:dyDescent="0.3">
      <c r="H42" s="52"/>
    </row>
    <row r="43" spans="1:8" ht="26.25" x14ac:dyDescent="0.45">
      <c r="A43" s="56" t="s">
        <v>146</v>
      </c>
      <c r="B43" s="57"/>
      <c r="C43" s="57"/>
      <c r="D43" s="57"/>
      <c r="E43" s="57"/>
      <c r="F43" s="58"/>
      <c r="G43" s="36">
        <f>Table132678549[[#Totals],[Reimbursement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SUM(Table132678549['# of hours])</f>
        <v>0</v>
      </c>
      <c r="D53" s="35">
        <f>SUM(Table132678549['# of people reached])</f>
        <v>0</v>
      </c>
      <c r="E53" s="35">
        <f>SUM(Table132678549['# of participants])</f>
        <v>0</v>
      </c>
      <c r="F53" s="35">
        <f>SUBTOTAL(109,Table132678549['# of items handed out])</f>
        <v>0</v>
      </c>
      <c r="G53" s="37">
        <f>SUBTOTAL(109,Table132678549[Reimbursement Amount Requested])</f>
        <v>0</v>
      </c>
      <c r="H53" s="52"/>
    </row>
    <row r="54" spans="1:8" x14ac:dyDescent="0.3">
      <c r="H54" s="52"/>
    </row>
    <row r="55" spans="1:8" ht="26.25" x14ac:dyDescent="0.45">
      <c r="A55" s="56" t="s">
        <v>181</v>
      </c>
      <c r="B55" s="57"/>
      <c r="C55" s="57"/>
      <c r="D55" s="57"/>
      <c r="E55" s="57"/>
      <c r="F55" s="58"/>
      <c r="G55" s="36">
        <f>Table1326789550[[#Totals],[Reimbursement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SUM(Table1326789550['# of hours])</f>
        <v>0</v>
      </c>
      <c r="D62" s="35">
        <f>SUM(Table1326789550['# of people reached])</f>
        <v>0</v>
      </c>
      <c r="E62" s="35">
        <f>SUM(Table1326789550['# of participants])</f>
        <v>0</v>
      </c>
      <c r="F62" s="35">
        <f>SUBTOTAL(109,Table1326789550['# of items handed out])</f>
        <v>0</v>
      </c>
      <c r="G62" s="31">
        <f>SUBTOTAL(109,Table1326789550[Reimbursement Amount Requested])</f>
        <v>0</v>
      </c>
      <c r="H62" s="52"/>
    </row>
    <row r="63" spans="1:8" x14ac:dyDescent="0.3">
      <c r="H63" s="52"/>
    </row>
    <row r="64" spans="1:8" ht="26.25" x14ac:dyDescent="0.45">
      <c r="A64" s="56" t="s">
        <v>186</v>
      </c>
      <c r="B64" s="57"/>
      <c r="C64" s="57"/>
      <c r="D64" s="57"/>
      <c r="E64" s="57"/>
      <c r="F64" s="58"/>
      <c r="G64" s="36">
        <f>Table13267810551[[#Totals],[Reimbursement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SUM(Table13267810551['# of hours])</f>
        <v>0</v>
      </c>
      <c r="D74" s="35">
        <f>SUM(Table13267810551['# of people reached])</f>
        <v>0</v>
      </c>
      <c r="E74" s="35">
        <f>SUM(Table13267810551['# of participants])</f>
        <v>0</v>
      </c>
      <c r="F74" s="35">
        <f>SUBTOTAL(109,Table13267810551['# of items handed out])</f>
        <v>0</v>
      </c>
      <c r="G74" s="37">
        <f>SUBTOTAL(109,Table13267810551[Reimbursement Amount Requested])</f>
        <v>0</v>
      </c>
      <c r="H74" s="52"/>
    </row>
    <row r="75" spans="1:8" x14ac:dyDescent="0.3">
      <c r="H75" s="52"/>
    </row>
    <row r="76" spans="1:8" ht="26.25" x14ac:dyDescent="0.45">
      <c r="A76" s="56" t="s">
        <v>187</v>
      </c>
      <c r="B76" s="57"/>
      <c r="C76" s="57"/>
      <c r="D76" s="57"/>
      <c r="E76" s="57"/>
      <c r="F76" s="58"/>
      <c r="G76" s="36">
        <f>Table1326781011552[[#Totals],[Reimbursement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SUM(Table1326781011552['# of hours])</f>
        <v>0</v>
      </c>
      <c r="D86" s="35">
        <f>SUM(Table1326781011552['# of people reached])</f>
        <v>0</v>
      </c>
      <c r="E86" s="35">
        <f>SUM(Table1326781011552['# of participants])</f>
        <v>0</v>
      </c>
      <c r="F86" s="35">
        <f>SUBTOTAL(109,Table1326781011552['# of items handed out])</f>
        <v>0</v>
      </c>
      <c r="G86" s="37">
        <f>SUBTOTAL(109,Table1326781011552[Reimbursement Amount Requested])</f>
        <v>0</v>
      </c>
      <c r="H86" s="52"/>
    </row>
    <row r="87" spans="1:8" x14ac:dyDescent="0.3">
      <c r="H87" s="52"/>
    </row>
    <row r="88" spans="1:8" ht="26.25" x14ac:dyDescent="0.45">
      <c r="A88" s="56" t="s">
        <v>189</v>
      </c>
      <c r="B88" s="57"/>
      <c r="C88" s="57"/>
      <c r="D88" s="57"/>
      <c r="E88" s="57"/>
      <c r="F88" s="58"/>
      <c r="G88" s="36">
        <f>Table132678101112553[[#Totals],[Reimbursement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SUM(Table132678101112553['# of hours])</f>
        <v>0</v>
      </c>
      <c r="D98" s="35">
        <f>SUM(Table132678101112553['# of people reached])</f>
        <v>0</v>
      </c>
      <c r="E98" s="35">
        <f>SUM(Table132678101112553['# of participants])</f>
        <v>0</v>
      </c>
      <c r="F98" s="35">
        <f>SUBTOTAL(109,Table132678101112553['# of items handed out])</f>
        <v>0</v>
      </c>
      <c r="G98" s="37">
        <f>SUBTOTAL(109,Table132678101112553[Reimbursement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D65ABA6C-0CCF-40E2-A696-F793E902D534}">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A057B48B-1E69-4742-85A2-4A0D427924D2}">
          <x14:formula1>
            <xm:f>Activities!$A$4:$A$27</xm:f>
          </x14:formula1>
          <xm:sqref>A7:A11</xm:sqref>
        </x14:dataValidation>
        <x14:dataValidation type="list" allowBlank="1" showInputMessage="1" showErrorMessage="1" xr:uid="{1C1A44A7-61A7-4E96-93A7-ED91A71213AD}">
          <x14:formula1>
            <xm:f>Activities!$A$49:$A$59</xm:f>
          </x14:formula1>
          <xm:sqref>A36:A40</xm:sqref>
        </x14:dataValidation>
        <x14:dataValidation type="list" allowBlank="1" showInputMessage="1" showErrorMessage="1" xr:uid="{95D89659-0600-4DD1-93FD-8411D56345D2}">
          <x14:formula1>
            <xm:f>Activities!$A$30:$A$46</xm:f>
          </x14:formula1>
          <xm:sqref>A19:A28</xm:sqref>
        </x14:dataValidation>
        <x14:dataValidation type="list" allowBlank="1" showInputMessage="1" showErrorMessage="1" xr:uid="{D265897D-E833-4B2E-89C5-0BBA5956D103}">
          <x14:formula1>
            <xm:f>Activities!$A$87</xm:f>
          </x14:formula1>
          <xm:sqref>A60:A61</xm:sqref>
        </x14:dataValidation>
        <x14:dataValidation type="list" allowBlank="1" showInputMessage="1" showErrorMessage="1" xr:uid="{BF4E3A44-9C5A-47CC-8EEA-3BE0142F3556}">
          <x14:formula1>
            <xm:f>Activities!$A$90:$A$100</xm:f>
          </x14:formula1>
          <xm:sqref>A69:A73</xm:sqref>
        </x14:dataValidation>
        <x14:dataValidation type="list" allowBlank="1" showInputMessage="1" showErrorMessage="1" xr:uid="{B70CCD45-87C1-4A1B-A928-15C58CE5CA55}">
          <x14:formula1>
            <xm:f>Activities!$A$103:$A$109</xm:f>
          </x14:formula1>
          <xm:sqref>A81:A85</xm:sqref>
        </x14:dataValidation>
        <x14:dataValidation type="list" allowBlank="1" showInputMessage="1" showErrorMessage="1" xr:uid="{F5F8392C-7586-4E76-A96A-D2D43C84AAB3}">
          <x14:formula1>
            <xm:f>Activities!$A$112:$A$126</xm:f>
          </x14:formula1>
          <xm:sqref>A93:A97</xm:sqref>
        </x14:dataValidation>
        <x14:dataValidation type="list" allowBlank="1" showInputMessage="1" showErrorMessage="1" xr:uid="{5DD526D6-124E-4D2C-AC26-D5F1FAC66DA2}">
          <x14:formula1>
            <xm:f>Activities!$A$62:$A$84</xm:f>
          </x14:formula1>
          <xm:sqref>A49:A52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D89A-24CA-46E9-A037-93767AD488D2}">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Table132554[[#Totals],[Reimbursement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SUM(Table132554['# of hours])</f>
        <v>0</v>
      </c>
      <c r="D12" s="35">
        <f>SUM(Table132554['# of people reached])</f>
        <v>0</v>
      </c>
      <c r="E12" s="35">
        <f>SUM(Table132554['# of participants])</f>
        <v>0</v>
      </c>
      <c r="F12" s="35">
        <f>SUBTOTAL(109,Table132554['# of items handed out])</f>
        <v>0</v>
      </c>
      <c r="G12" s="37">
        <f>SUBTOTAL(109,Table132554[Reimbursement Amount Requested])</f>
        <v>0</v>
      </c>
      <c r="H12" s="52"/>
    </row>
    <row r="13" spans="1:8" x14ac:dyDescent="0.3">
      <c r="H13" s="52"/>
    </row>
    <row r="14" spans="1:8" ht="26.25" x14ac:dyDescent="0.45">
      <c r="A14" s="56" t="s">
        <v>140</v>
      </c>
      <c r="B14" s="57"/>
      <c r="C14" s="57"/>
      <c r="D14" s="57"/>
      <c r="E14" s="57"/>
      <c r="F14" s="58"/>
      <c r="G14" s="36">
        <f>Table1326555[[#Totals],[Reimbursement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SUM(Table1326555['# of hours])</f>
        <v>0</v>
      </c>
      <c r="D29" s="35">
        <f>SUM(Table1326555['# of people reached])</f>
        <v>0</v>
      </c>
      <c r="E29" s="35">
        <f>SUM(Table1326555['# of participants])</f>
        <v>0</v>
      </c>
      <c r="F29" s="35">
        <f>SUBTOTAL(109,Table1326555['# of items handed out])</f>
        <v>0</v>
      </c>
      <c r="G29" s="37">
        <f>SUBTOTAL(109,Table1326555[Reimbursement Amount Requested])</f>
        <v>0</v>
      </c>
      <c r="H29" s="52"/>
    </row>
    <row r="30" spans="1:8" x14ac:dyDescent="0.3">
      <c r="H30" s="52"/>
    </row>
    <row r="31" spans="1:8" ht="26.25" x14ac:dyDescent="0.45">
      <c r="A31" s="56" t="s">
        <v>143</v>
      </c>
      <c r="B31" s="57"/>
      <c r="C31" s="57"/>
      <c r="D31" s="57"/>
      <c r="E31" s="57"/>
      <c r="F31" s="58"/>
      <c r="G31" s="36">
        <f>Table13267556[[#Totals],[Reimbursement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SUM(Table13267556['# of hours])</f>
        <v>0</v>
      </c>
      <c r="D41" s="35">
        <f>SUM(Table13267556['# of people reached])</f>
        <v>0</v>
      </c>
      <c r="E41" s="35">
        <f>SUM(Table13267556['# of participants])</f>
        <v>0</v>
      </c>
      <c r="F41" s="35">
        <f>SUBTOTAL(109,Table13267556['# of items handed out])</f>
        <v>0</v>
      </c>
      <c r="G41" s="37">
        <f>SUBTOTAL(109,Table13267556[Reimbursement Amount Requested])</f>
        <v>0</v>
      </c>
      <c r="H41" s="52"/>
    </row>
    <row r="42" spans="1:8" x14ac:dyDescent="0.3">
      <c r="H42" s="52"/>
    </row>
    <row r="43" spans="1:8" ht="26.25" x14ac:dyDescent="0.45">
      <c r="A43" s="56" t="s">
        <v>146</v>
      </c>
      <c r="B43" s="57"/>
      <c r="C43" s="57"/>
      <c r="D43" s="57"/>
      <c r="E43" s="57"/>
      <c r="F43" s="58"/>
      <c r="G43" s="36">
        <f>Table132678557[[#Totals],[Reimbursement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SUM(Table132678557['# of hours])</f>
        <v>0</v>
      </c>
      <c r="D53" s="35">
        <f>SUM(Table132678557['# of people reached])</f>
        <v>0</v>
      </c>
      <c r="E53" s="35">
        <f>SUM(Table132678557['# of participants])</f>
        <v>0</v>
      </c>
      <c r="F53" s="35">
        <f>SUBTOTAL(109,Table132678557['# of items handed out])</f>
        <v>0</v>
      </c>
      <c r="G53" s="37">
        <f>SUBTOTAL(109,Table132678557[Reimbursement Amount Requested])</f>
        <v>0</v>
      </c>
      <c r="H53" s="52"/>
    </row>
    <row r="54" spans="1:8" x14ac:dyDescent="0.3">
      <c r="H54" s="52"/>
    </row>
    <row r="55" spans="1:8" ht="26.25" x14ac:dyDescent="0.45">
      <c r="A55" s="56" t="s">
        <v>181</v>
      </c>
      <c r="B55" s="57"/>
      <c r="C55" s="57"/>
      <c r="D55" s="57"/>
      <c r="E55" s="57"/>
      <c r="F55" s="58"/>
      <c r="G55" s="36">
        <f>Table1326789558[[#Totals],[Reimbursement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SUM(Table1326789558['# of hours])</f>
        <v>0</v>
      </c>
      <c r="D62" s="35">
        <f>SUM(Table1326789558['# of people reached])</f>
        <v>0</v>
      </c>
      <c r="E62" s="35">
        <f>SUM(Table1326789558['# of participants])</f>
        <v>0</v>
      </c>
      <c r="F62" s="35">
        <f>SUBTOTAL(109,Table1326789558['# of items handed out])</f>
        <v>0</v>
      </c>
      <c r="G62" s="31">
        <f>SUBTOTAL(109,Table1326789558[Reimbursement Amount Requested])</f>
        <v>0</v>
      </c>
      <c r="H62" s="52"/>
    </row>
    <row r="63" spans="1:8" x14ac:dyDescent="0.3">
      <c r="H63" s="52"/>
    </row>
    <row r="64" spans="1:8" ht="26.25" x14ac:dyDescent="0.45">
      <c r="A64" s="56" t="s">
        <v>186</v>
      </c>
      <c r="B64" s="57"/>
      <c r="C64" s="57"/>
      <c r="D64" s="57"/>
      <c r="E64" s="57"/>
      <c r="F64" s="58"/>
      <c r="G64" s="36">
        <f>Table13267810559[[#Totals],[Reimbursement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SUM(Table13267810559['# of hours])</f>
        <v>0</v>
      </c>
      <c r="D74" s="35">
        <f>SUM(Table13267810559['# of people reached])</f>
        <v>0</v>
      </c>
      <c r="E74" s="35">
        <f>SUM(Table13267810559['# of participants])</f>
        <v>0</v>
      </c>
      <c r="F74" s="35">
        <f>SUBTOTAL(109,Table13267810559['# of items handed out])</f>
        <v>0</v>
      </c>
      <c r="G74" s="37">
        <f>SUBTOTAL(109,Table13267810559[Reimbursement Amount Requested])</f>
        <v>0</v>
      </c>
      <c r="H74" s="52"/>
    </row>
    <row r="75" spans="1:8" x14ac:dyDescent="0.3">
      <c r="H75" s="52"/>
    </row>
    <row r="76" spans="1:8" ht="26.25" x14ac:dyDescent="0.45">
      <c r="A76" s="56" t="s">
        <v>187</v>
      </c>
      <c r="B76" s="57"/>
      <c r="C76" s="57"/>
      <c r="D76" s="57"/>
      <c r="E76" s="57"/>
      <c r="F76" s="58"/>
      <c r="G76" s="36">
        <f>Table1326781011560[[#Totals],[Reimbursement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SUM(Table1326781011560['# of hours])</f>
        <v>0</v>
      </c>
      <c r="D86" s="35">
        <f>SUM(Table1326781011560['# of people reached])</f>
        <v>0</v>
      </c>
      <c r="E86" s="35">
        <f>SUM(Table1326781011560['# of participants])</f>
        <v>0</v>
      </c>
      <c r="F86" s="35">
        <f>SUBTOTAL(109,Table1326781011560['# of items handed out])</f>
        <v>0</v>
      </c>
      <c r="G86" s="37">
        <f>SUBTOTAL(109,Table1326781011560[Reimbursement Amount Requested])</f>
        <v>0</v>
      </c>
      <c r="H86" s="52"/>
    </row>
    <row r="87" spans="1:8" x14ac:dyDescent="0.3">
      <c r="H87" s="52"/>
    </row>
    <row r="88" spans="1:8" ht="26.25" x14ac:dyDescent="0.45">
      <c r="A88" s="56" t="s">
        <v>189</v>
      </c>
      <c r="B88" s="57"/>
      <c r="C88" s="57"/>
      <c r="D88" s="57"/>
      <c r="E88" s="57"/>
      <c r="F88" s="58"/>
      <c r="G88" s="36">
        <f>Table132678101112561[[#Totals],[Reimbursement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SUM(Table132678101112561['# of hours])</f>
        <v>0</v>
      </c>
      <c r="D98" s="35">
        <f>SUM(Table132678101112561['# of people reached])</f>
        <v>0</v>
      </c>
      <c r="E98" s="35">
        <f>SUM(Table132678101112561['# of participants])</f>
        <v>0</v>
      </c>
      <c r="F98" s="35">
        <f>SUBTOTAL(109,Table132678101112561['# of items handed out])</f>
        <v>0</v>
      </c>
      <c r="G98" s="37">
        <f>SUBTOTAL(109,Table132678101112561[Reimbursement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E4BDEC5D-F063-4459-89B0-DE8A49F8F0CA}">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DE9C7F8D-D6D3-48BA-B845-8746288557CD}">
          <x14:formula1>
            <xm:f>Activities!$A$62:$A$84</xm:f>
          </x14:formula1>
          <xm:sqref>A49:A52</xm:sqref>
        </x14:dataValidation>
        <x14:dataValidation type="list" allowBlank="1" showInputMessage="1" showErrorMessage="1" xr:uid="{02673D99-3B54-4458-B086-BE4E48590A78}">
          <x14:formula1>
            <xm:f>Activities!$A$112:$A$126</xm:f>
          </x14:formula1>
          <xm:sqref>A93:A97</xm:sqref>
        </x14:dataValidation>
        <x14:dataValidation type="list" allowBlank="1" showInputMessage="1" showErrorMessage="1" xr:uid="{2A4A836E-A768-49CB-84EB-B96D1A942C30}">
          <x14:formula1>
            <xm:f>Activities!$A$103:$A$109</xm:f>
          </x14:formula1>
          <xm:sqref>A81:A85</xm:sqref>
        </x14:dataValidation>
        <x14:dataValidation type="list" allowBlank="1" showInputMessage="1" showErrorMessage="1" xr:uid="{CADB52A2-B2FD-4CCC-93A3-7DC47137A43A}">
          <x14:formula1>
            <xm:f>Activities!$A$90:$A$100</xm:f>
          </x14:formula1>
          <xm:sqref>A69:A73</xm:sqref>
        </x14:dataValidation>
        <x14:dataValidation type="list" allowBlank="1" showInputMessage="1" showErrorMessage="1" xr:uid="{BE73B3ED-22D3-4A26-BFCC-A60CB3E82759}">
          <x14:formula1>
            <xm:f>Activities!$A$87</xm:f>
          </x14:formula1>
          <xm:sqref>A60:A61</xm:sqref>
        </x14:dataValidation>
        <x14:dataValidation type="list" allowBlank="1" showInputMessage="1" showErrorMessage="1" xr:uid="{45DF0E35-6B28-44A2-9380-0255763A97D4}">
          <x14:formula1>
            <xm:f>Activities!$A$30:$A$46</xm:f>
          </x14:formula1>
          <xm:sqref>A19:A28</xm:sqref>
        </x14:dataValidation>
        <x14:dataValidation type="list" allowBlank="1" showInputMessage="1" showErrorMessage="1" xr:uid="{0C3C6E2C-8853-47AD-BFAF-724D20029B78}">
          <x14:formula1>
            <xm:f>Activities!$A$49:$A$59</xm:f>
          </x14:formula1>
          <xm:sqref>A36:A40</xm:sqref>
        </x14:dataValidation>
        <x14:dataValidation type="list" allowBlank="1" showInputMessage="1" showErrorMessage="1" xr:uid="{C4ABC8D6-2026-455A-B29E-A4DCCF5F09DB}">
          <x14:formula1>
            <xm:f>Activities!$A$4:$A$27</xm:f>
          </x14:formula1>
          <xm:sqref>A7:A11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B8E3-8004-469E-82A8-A7D275A35202}">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Table132562[[#Totals],[Reimbursement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SUM(Table132562['# of hours])</f>
        <v>0</v>
      </c>
      <c r="D12" s="35">
        <f>SUM(Table132562['# of people reached])</f>
        <v>0</v>
      </c>
      <c r="E12" s="35">
        <f>SUM(Table132562['# of participants])</f>
        <v>0</v>
      </c>
      <c r="F12" s="35">
        <f>SUBTOTAL(109,Table132562['# of items handed out])</f>
        <v>0</v>
      </c>
      <c r="G12" s="37">
        <f>SUBTOTAL(109,Table132562[Reimbursement Amount Requested])</f>
        <v>0</v>
      </c>
      <c r="H12" s="52"/>
    </row>
    <row r="13" spans="1:8" x14ac:dyDescent="0.3">
      <c r="H13" s="52"/>
    </row>
    <row r="14" spans="1:8" ht="26.25" x14ac:dyDescent="0.45">
      <c r="A14" s="56" t="s">
        <v>140</v>
      </c>
      <c r="B14" s="57"/>
      <c r="C14" s="57"/>
      <c r="D14" s="57"/>
      <c r="E14" s="57"/>
      <c r="F14" s="58"/>
      <c r="G14" s="36">
        <f>Table1326563[[#Totals],[Reimbursement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SUM(Table1326563['# of hours])</f>
        <v>0</v>
      </c>
      <c r="D29" s="35">
        <f>SUM(Table1326563['# of people reached])</f>
        <v>0</v>
      </c>
      <c r="E29" s="35">
        <f>SUM(Table1326563['# of participants])</f>
        <v>0</v>
      </c>
      <c r="F29" s="35">
        <f>SUBTOTAL(109,Table1326563['# of items handed out])</f>
        <v>0</v>
      </c>
      <c r="G29" s="37">
        <f>SUBTOTAL(109,Table1326563[Reimbursement Amount Requested])</f>
        <v>0</v>
      </c>
      <c r="H29" s="52"/>
    </row>
    <row r="30" spans="1:8" x14ac:dyDescent="0.3">
      <c r="H30" s="52"/>
    </row>
    <row r="31" spans="1:8" ht="26.25" x14ac:dyDescent="0.45">
      <c r="A31" s="56" t="s">
        <v>143</v>
      </c>
      <c r="B31" s="57"/>
      <c r="C31" s="57"/>
      <c r="D31" s="57"/>
      <c r="E31" s="57"/>
      <c r="F31" s="58"/>
      <c r="G31" s="36">
        <f>Table13267564[[#Totals],[Reimbursement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SUM(Table13267564['# of hours])</f>
        <v>0</v>
      </c>
      <c r="D41" s="35">
        <f>SUM(Table13267564['# of people reached])</f>
        <v>0</v>
      </c>
      <c r="E41" s="35">
        <f>SUM(Table13267564['# of participants])</f>
        <v>0</v>
      </c>
      <c r="F41" s="35">
        <f>SUBTOTAL(109,Table13267564['# of items handed out])</f>
        <v>0</v>
      </c>
      <c r="G41" s="37">
        <f>SUBTOTAL(109,Table13267564[Reimbursement Amount Requested])</f>
        <v>0</v>
      </c>
      <c r="H41" s="52"/>
    </row>
    <row r="42" spans="1:8" x14ac:dyDescent="0.3">
      <c r="H42" s="52"/>
    </row>
    <row r="43" spans="1:8" ht="26.25" x14ac:dyDescent="0.45">
      <c r="A43" s="56" t="s">
        <v>146</v>
      </c>
      <c r="B43" s="57"/>
      <c r="C43" s="57"/>
      <c r="D43" s="57"/>
      <c r="E43" s="57"/>
      <c r="F43" s="58"/>
      <c r="G43" s="36">
        <f>Table132678565[[#Totals],[Reimbursement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SUM(Table132678565['# of hours])</f>
        <v>0</v>
      </c>
      <c r="D53" s="35">
        <f>SUM(Table132678565['# of people reached])</f>
        <v>0</v>
      </c>
      <c r="E53" s="35">
        <f>SUM(Table132678565['# of participants])</f>
        <v>0</v>
      </c>
      <c r="F53" s="35">
        <f>SUBTOTAL(109,Table132678565['# of items handed out])</f>
        <v>0</v>
      </c>
      <c r="G53" s="37">
        <f>SUBTOTAL(109,Table132678565[Reimbursement Amount Requested])</f>
        <v>0</v>
      </c>
      <c r="H53" s="52"/>
    </row>
    <row r="54" spans="1:8" x14ac:dyDescent="0.3">
      <c r="H54" s="52"/>
    </row>
    <row r="55" spans="1:8" ht="26.25" x14ac:dyDescent="0.45">
      <c r="A55" s="56" t="s">
        <v>181</v>
      </c>
      <c r="B55" s="57"/>
      <c r="C55" s="57"/>
      <c r="D55" s="57"/>
      <c r="E55" s="57"/>
      <c r="F55" s="58"/>
      <c r="G55" s="36">
        <f>Table1326789566[[#Totals],[Reimbursement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SUM(Table1326789566['# of hours])</f>
        <v>0</v>
      </c>
      <c r="D62" s="35">
        <f>SUM(Table1326789566['# of people reached])</f>
        <v>0</v>
      </c>
      <c r="E62" s="35">
        <f>SUM(Table1326789566['# of participants])</f>
        <v>0</v>
      </c>
      <c r="F62" s="35">
        <f>SUBTOTAL(109,Table1326789566['# of items handed out])</f>
        <v>0</v>
      </c>
      <c r="G62" s="31">
        <f>SUBTOTAL(109,Table1326789566[Reimbursement Amount Requested])</f>
        <v>0</v>
      </c>
      <c r="H62" s="52"/>
    </row>
    <row r="63" spans="1:8" x14ac:dyDescent="0.3">
      <c r="H63" s="52"/>
    </row>
    <row r="64" spans="1:8" ht="26.25" x14ac:dyDescent="0.45">
      <c r="A64" s="56" t="s">
        <v>186</v>
      </c>
      <c r="B64" s="57"/>
      <c r="C64" s="57"/>
      <c r="D64" s="57"/>
      <c r="E64" s="57"/>
      <c r="F64" s="58"/>
      <c r="G64" s="36">
        <f>Table13267810567[[#Totals],[Reimbursement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SUM(Table13267810567['# of hours])</f>
        <v>0</v>
      </c>
      <c r="D74" s="35">
        <f>SUM(Table13267810567['# of people reached])</f>
        <v>0</v>
      </c>
      <c r="E74" s="35">
        <f>SUM(Table13267810567['# of participants])</f>
        <v>0</v>
      </c>
      <c r="F74" s="35">
        <f>SUBTOTAL(109,Table13267810567['# of items handed out])</f>
        <v>0</v>
      </c>
      <c r="G74" s="37">
        <f>SUBTOTAL(109,Table13267810567[Reimbursement Amount Requested])</f>
        <v>0</v>
      </c>
      <c r="H74" s="52"/>
    </row>
    <row r="75" spans="1:8" x14ac:dyDescent="0.3">
      <c r="H75" s="52"/>
    </row>
    <row r="76" spans="1:8" ht="26.25" x14ac:dyDescent="0.45">
      <c r="A76" s="56" t="s">
        <v>187</v>
      </c>
      <c r="B76" s="57"/>
      <c r="C76" s="57"/>
      <c r="D76" s="57"/>
      <c r="E76" s="57"/>
      <c r="F76" s="58"/>
      <c r="G76" s="36">
        <f>Table1326781011568[[#Totals],[Reimbursement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SUM(Table1326781011568['# of hours])</f>
        <v>0</v>
      </c>
      <c r="D86" s="35">
        <f>SUM(Table1326781011568['# of people reached])</f>
        <v>0</v>
      </c>
      <c r="E86" s="35">
        <f>SUM(Table1326781011568['# of participants])</f>
        <v>0</v>
      </c>
      <c r="F86" s="35">
        <f>SUBTOTAL(109,Table1326781011568['# of items handed out])</f>
        <v>0</v>
      </c>
      <c r="G86" s="37">
        <f>SUBTOTAL(109,Table1326781011568[Reimbursement Amount Requested])</f>
        <v>0</v>
      </c>
      <c r="H86" s="52"/>
    </row>
    <row r="87" spans="1:8" x14ac:dyDescent="0.3">
      <c r="H87" s="52"/>
    </row>
    <row r="88" spans="1:8" ht="26.25" x14ac:dyDescent="0.45">
      <c r="A88" s="56" t="s">
        <v>189</v>
      </c>
      <c r="B88" s="57"/>
      <c r="C88" s="57"/>
      <c r="D88" s="57"/>
      <c r="E88" s="57"/>
      <c r="F88" s="58"/>
      <c r="G88" s="36">
        <f>Table132678101112569[[#Totals],[Reimbursement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SUM(Table132678101112569['# of hours])</f>
        <v>0</v>
      </c>
      <c r="D98" s="35">
        <f>SUM(Table132678101112569['# of people reached])</f>
        <v>0</v>
      </c>
      <c r="E98" s="35">
        <f>SUM(Table132678101112569['# of participants])</f>
        <v>0</v>
      </c>
      <c r="F98" s="35">
        <f>SUBTOTAL(109,Table132678101112569['# of items handed out])</f>
        <v>0</v>
      </c>
      <c r="G98" s="37">
        <f>SUBTOTAL(109,Table132678101112569[Reimbursement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5770ABB1-7070-4AFA-B4E7-889E1B3579F7}">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A2D4EDAA-1241-49E4-8DE8-08FD470881E9}">
          <x14:formula1>
            <xm:f>Activities!$A$4:$A$27</xm:f>
          </x14:formula1>
          <xm:sqref>A7:A11</xm:sqref>
        </x14:dataValidation>
        <x14:dataValidation type="list" allowBlank="1" showInputMessage="1" showErrorMessage="1" xr:uid="{C8039E3D-34BE-486D-8EB4-E56D7AC2D5E7}">
          <x14:formula1>
            <xm:f>Activities!$A$49:$A$59</xm:f>
          </x14:formula1>
          <xm:sqref>A36:A40</xm:sqref>
        </x14:dataValidation>
        <x14:dataValidation type="list" allowBlank="1" showInputMessage="1" showErrorMessage="1" xr:uid="{485F4804-1911-43D5-A15F-4A2E8BD733A8}">
          <x14:formula1>
            <xm:f>Activities!$A$30:$A$46</xm:f>
          </x14:formula1>
          <xm:sqref>A19:A28</xm:sqref>
        </x14:dataValidation>
        <x14:dataValidation type="list" allowBlank="1" showInputMessage="1" showErrorMessage="1" xr:uid="{6F717232-27E9-4076-8353-1E4ADB0C8A6B}">
          <x14:formula1>
            <xm:f>Activities!$A$87</xm:f>
          </x14:formula1>
          <xm:sqref>A60:A61</xm:sqref>
        </x14:dataValidation>
        <x14:dataValidation type="list" allowBlank="1" showInputMessage="1" showErrorMessage="1" xr:uid="{43925955-7998-411E-88A2-1594213E044E}">
          <x14:formula1>
            <xm:f>Activities!$A$90:$A$100</xm:f>
          </x14:formula1>
          <xm:sqref>A69:A73</xm:sqref>
        </x14:dataValidation>
        <x14:dataValidation type="list" allowBlank="1" showInputMessage="1" showErrorMessage="1" xr:uid="{4129B22E-C3E0-4941-BF7F-91AAE8ED434D}">
          <x14:formula1>
            <xm:f>Activities!$A$103:$A$109</xm:f>
          </x14:formula1>
          <xm:sqref>A81:A85</xm:sqref>
        </x14:dataValidation>
        <x14:dataValidation type="list" allowBlank="1" showInputMessage="1" showErrorMessage="1" xr:uid="{3DDD82AE-2F28-4237-8BEC-6CA25844E80C}">
          <x14:formula1>
            <xm:f>Activities!$A$112:$A$126</xm:f>
          </x14:formula1>
          <xm:sqref>A93:A97</xm:sqref>
        </x14:dataValidation>
        <x14:dataValidation type="list" allowBlank="1" showInputMessage="1" showErrorMessage="1" xr:uid="{DA6828E3-D24C-4CEC-9638-875C0672F8D9}">
          <x14:formula1>
            <xm:f>Activities!$A$62:$A$84</xm:f>
          </x14:formula1>
          <xm:sqref>A49:A52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8E2B-5396-4BCA-9BF6-E3F4CBFC21CE}">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Table132570[[#Totals],[Reimbursement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SUM(Table132570['# of hours])</f>
        <v>0</v>
      </c>
      <c r="D12" s="35">
        <f>SUM(Table132570['# of people reached])</f>
        <v>0</v>
      </c>
      <c r="E12" s="35">
        <f>SUM(Table132570['# of participants])</f>
        <v>0</v>
      </c>
      <c r="F12" s="35">
        <f>SUBTOTAL(109,Table132570['# of items handed out])</f>
        <v>0</v>
      </c>
      <c r="G12" s="37">
        <f>SUBTOTAL(109,Table132570[Reimbursement Amount Requested])</f>
        <v>0</v>
      </c>
      <c r="H12" s="52"/>
    </row>
    <row r="13" spans="1:8" x14ac:dyDescent="0.3">
      <c r="H13" s="52"/>
    </row>
    <row r="14" spans="1:8" ht="26.25" x14ac:dyDescent="0.45">
      <c r="A14" s="56" t="s">
        <v>140</v>
      </c>
      <c r="B14" s="57"/>
      <c r="C14" s="57"/>
      <c r="D14" s="57"/>
      <c r="E14" s="57"/>
      <c r="F14" s="58"/>
      <c r="G14" s="36">
        <f>Table1326571[[#Totals],[Reimbursement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SUM(Table1326571['# of hours])</f>
        <v>0</v>
      </c>
      <c r="D29" s="35">
        <f>SUM(Table1326571['# of people reached])</f>
        <v>0</v>
      </c>
      <c r="E29" s="35">
        <f>SUM(Table1326571['# of participants])</f>
        <v>0</v>
      </c>
      <c r="F29" s="35">
        <f>SUBTOTAL(109,Table1326571['# of items handed out])</f>
        <v>0</v>
      </c>
      <c r="G29" s="37">
        <f>SUBTOTAL(109,Table1326571[Reimbursement Amount Requested])</f>
        <v>0</v>
      </c>
      <c r="H29" s="52"/>
    </row>
    <row r="30" spans="1:8" x14ac:dyDescent="0.3">
      <c r="H30" s="52"/>
    </row>
    <row r="31" spans="1:8" ht="26.25" x14ac:dyDescent="0.45">
      <c r="A31" s="56" t="s">
        <v>143</v>
      </c>
      <c r="B31" s="57"/>
      <c r="C31" s="57"/>
      <c r="D31" s="57"/>
      <c r="E31" s="57"/>
      <c r="F31" s="58"/>
      <c r="G31" s="36">
        <f>Table13267572[[#Totals],[Reimbursement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SUM(Table13267572['# of hours])</f>
        <v>0</v>
      </c>
      <c r="D41" s="35">
        <f>SUM(Table13267572['# of people reached])</f>
        <v>0</v>
      </c>
      <c r="E41" s="35">
        <f>SUM(Table13267572['# of participants])</f>
        <v>0</v>
      </c>
      <c r="F41" s="35">
        <f>SUBTOTAL(109,Table13267572['# of items handed out])</f>
        <v>0</v>
      </c>
      <c r="G41" s="37">
        <f>SUBTOTAL(109,Table13267572[Reimbursement Amount Requested])</f>
        <v>0</v>
      </c>
      <c r="H41" s="52"/>
    </row>
    <row r="42" spans="1:8" x14ac:dyDescent="0.3">
      <c r="H42" s="52"/>
    </row>
    <row r="43" spans="1:8" ht="26.25" x14ac:dyDescent="0.45">
      <c r="A43" s="56" t="s">
        <v>146</v>
      </c>
      <c r="B43" s="57"/>
      <c r="C43" s="57"/>
      <c r="D43" s="57"/>
      <c r="E43" s="57"/>
      <c r="F43" s="58"/>
      <c r="G43" s="36">
        <f>Table132678573[[#Totals],[Reimbursement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SUM(Table132678573['# of hours])</f>
        <v>0</v>
      </c>
      <c r="D53" s="35">
        <f>SUM(Table132678573['# of people reached])</f>
        <v>0</v>
      </c>
      <c r="E53" s="35">
        <f>SUM(Table132678573['# of participants])</f>
        <v>0</v>
      </c>
      <c r="F53" s="35">
        <f>SUBTOTAL(109,Table132678573['# of items handed out])</f>
        <v>0</v>
      </c>
      <c r="G53" s="37">
        <f>SUBTOTAL(109,Table132678573[Reimbursement Amount Requested])</f>
        <v>0</v>
      </c>
      <c r="H53" s="52"/>
    </row>
    <row r="54" spans="1:8" x14ac:dyDescent="0.3">
      <c r="H54" s="52"/>
    </row>
    <row r="55" spans="1:8" ht="26.25" x14ac:dyDescent="0.45">
      <c r="A55" s="56" t="s">
        <v>181</v>
      </c>
      <c r="B55" s="57"/>
      <c r="C55" s="57"/>
      <c r="D55" s="57"/>
      <c r="E55" s="57"/>
      <c r="F55" s="58"/>
      <c r="G55" s="36">
        <f>Table1326789574[[#Totals],[Reimbursement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SUM(Table1326789574['# of hours])</f>
        <v>0</v>
      </c>
      <c r="D62" s="35">
        <f>SUM(Table1326789574['# of people reached])</f>
        <v>0</v>
      </c>
      <c r="E62" s="35">
        <f>SUM(Table1326789574['# of participants])</f>
        <v>0</v>
      </c>
      <c r="F62" s="35">
        <f>SUBTOTAL(109,Table1326789574['# of items handed out])</f>
        <v>0</v>
      </c>
      <c r="G62" s="31">
        <f>SUBTOTAL(109,Table1326789574[Reimbursement Amount Requested])</f>
        <v>0</v>
      </c>
      <c r="H62" s="52"/>
    </row>
    <row r="63" spans="1:8" x14ac:dyDescent="0.3">
      <c r="H63" s="52"/>
    </row>
    <row r="64" spans="1:8" ht="26.25" x14ac:dyDescent="0.45">
      <c r="A64" s="56" t="s">
        <v>186</v>
      </c>
      <c r="B64" s="57"/>
      <c r="C64" s="57"/>
      <c r="D64" s="57"/>
      <c r="E64" s="57"/>
      <c r="F64" s="58"/>
      <c r="G64" s="36">
        <f>Table13267810575[[#Totals],[Reimbursement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SUM(Table13267810575['# of hours])</f>
        <v>0</v>
      </c>
      <c r="D74" s="35">
        <f>SUM(Table13267810575['# of people reached])</f>
        <v>0</v>
      </c>
      <c r="E74" s="35">
        <f>SUM(Table13267810575['# of participants])</f>
        <v>0</v>
      </c>
      <c r="F74" s="35">
        <f>SUBTOTAL(109,Table13267810575['# of items handed out])</f>
        <v>0</v>
      </c>
      <c r="G74" s="37">
        <f>SUBTOTAL(109,Table13267810575[Reimbursement Amount Requested])</f>
        <v>0</v>
      </c>
      <c r="H74" s="52"/>
    </row>
    <row r="75" spans="1:8" x14ac:dyDescent="0.3">
      <c r="H75" s="52"/>
    </row>
    <row r="76" spans="1:8" ht="26.25" x14ac:dyDescent="0.45">
      <c r="A76" s="56" t="s">
        <v>187</v>
      </c>
      <c r="B76" s="57"/>
      <c r="C76" s="57"/>
      <c r="D76" s="57"/>
      <c r="E76" s="57"/>
      <c r="F76" s="58"/>
      <c r="G76" s="36">
        <f>Table1326781011576[[#Totals],[Reimbursement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SUM(Table1326781011576['# of hours])</f>
        <v>0</v>
      </c>
      <c r="D86" s="35">
        <f>SUM(Table1326781011576['# of people reached])</f>
        <v>0</v>
      </c>
      <c r="E86" s="35">
        <f>SUM(Table1326781011576['# of participants])</f>
        <v>0</v>
      </c>
      <c r="F86" s="35">
        <f>SUBTOTAL(109,Table1326781011576['# of items handed out])</f>
        <v>0</v>
      </c>
      <c r="G86" s="37">
        <f>SUBTOTAL(109,Table1326781011576[Reimbursement Amount Requested])</f>
        <v>0</v>
      </c>
      <c r="H86" s="52"/>
    </row>
    <row r="87" spans="1:8" x14ac:dyDescent="0.3">
      <c r="H87" s="52"/>
    </row>
    <row r="88" spans="1:8" ht="26.25" x14ac:dyDescent="0.45">
      <c r="A88" s="56" t="s">
        <v>189</v>
      </c>
      <c r="B88" s="57"/>
      <c r="C88" s="57"/>
      <c r="D88" s="57"/>
      <c r="E88" s="57"/>
      <c r="F88" s="58"/>
      <c r="G88" s="36">
        <f>Table132678101112577[[#Totals],[Reimbursement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SUM(Table132678101112577['# of hours])</f>
        <v>0</v>
      </c>
      <c r="D98" s="35">
        <f>SUM(Table132678101112577['# of people reached])</f>
        <v>0</v>
      </c>
      <c r="E98" s="35">
        <f>SUM(Table132678101112577['# of participants])</f>
        <v>0</v>
      </c>
      <c r="F98" s="35">
        <f>SUBTOTAL(109,Table132678101112577['# of items handed out])</f>
        <v>0</v>
      </c>
      <c r="G98" s="37">
        <f>SUBTOTAL(109,Table132678101112577[Reimbursement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E84778FC-1528-4AA2-A05A-C36D2CE1E80B}">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A68DF9F4-B242-4B8E-9BBB-39E246EF27F4}">
          <x14:formula1>
            <xm:f>Activities!$A$62:$A$84</xm:f>
          </x14:formula1>
          <xm:sqref>A49:A52</xm:sqref>
        </x14:dataValidation>
        <x14:dataValidation type="list" allowBlank="1" showInputMessage="1" showErrorMessage="1" xr:uid="{99CD4486-949A-4944-ADF1-6139041E67AF}">
          <x14:formula1>
            <xm:f>Activities!$A$112:$A$126</xm:f>
          </x14:formula1>
          <xm:sqref>A93:A97</xm:sqref>
        </x14:dataValidation>
        <x14:dataValidation type="list" allowBlank="1" showInputMessage="1" showErrorMessage="1" xr:uid="{71EF97E6-D346-4629-A40C-8CF8C293FB34}">
          <x14:formula1>
            <xm:f>Activities!$A$103:$A$109</xm:f>
          </x14:formula1>
          <xm:sqref>A81:A85</xm:sqref>
        </x14:dataValidation>
        <x14:dataValidation type="list" allowBlank="1" showInputMessage="1" showErrorMessage="1" xr:uid="{A66A2605-8DDA-46EB-B57A-3B4CA1B24667}">
          <x14:formula1>
            <xm:f>Activities!$A$90:$A$100</xm:f>
          </x14:formula1>
          <xm:sqref>A69:A73</xm:sqref>
        </x14:dataValidation>
        <x14:dataValidation type="list" allowBlank="1" showInputMessage="1" showErrorMessage="1" xr:uid="{A306B6CA-15F7-4D7D-9537-3705AEF1AA76}">
          <x14:formula1>
            <xm:f>Activities!$A$87</xm:f>
          </x14:formula1>
          <xm:sqref>A60:A61</xm:sqref>
        </x14:dataValidation>
        <x14:dataValidation type="list" allowBlank="1" showInputMessage="1" showErrorMessage="1" xr:uid="{DA95FD0C-ECD2-4ED5-8A4E-3125BBB73372}">
          <x14:formula1>
            <xm:f>Activities!$A$30:$A$46</xm:f>
          </x14:formula1>
          <xm:sqref>A19:A28</xm:sqref>
        </x14:dataValidation>
        <x14:dataValidation type="list" allowBlank="1" showInputMessage="1" showErrorMessage="1" xr:uid="{0A44CDF1-433C-49AE-95AD-6B1B68A979EC}">
          <x14:formula1>
            <xm:f>Activities!$A$49:$A$59</xm:f>
          </x14:formula1>
          <xm:sqref>A36:A40</xm:sqref>
        </x14:dataValidation>
        <x14:dataValidation type="list" allowBlank="1" showInputMessage="1" showErrorMessage="1" xr:uid="{A54F14F9-5B83-4715-8B5D-01E3B5D6D8A9}">
          <x14:formula1>
            <xm:f>Activities!$A$4:$A$27</xm:f>
          </x14:formula1>
          <xm:sqref>A7:A11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D4C5-F00E-435C-A9EA-1F133C334AE6}">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Table132578[[#Totals],[Reimbursement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SUM(Table132578['# of hours])</f>
        <v>0</v>
      </c>
      <c r="D12" s="35">
        <f>SUM(Table132578['# of people reached])</f>
        <v>0</v>
      </c>
      <c r="E12" s="35">
        <f>SUM(Table132578['# of participants])</f>
        <v>0</v>
      </c>
      <c r="F12" s="35">
        <f>SUBTOTAL(109,Table132578['# of items handed out])</f>
        <v>0</v>
      </c>
      <c r="G12" s="37">
        <f>SUBTOTAL(109,Table132578[Reimbursement Amount Requested])</f>
        <v>0</v>
      </c>
      <c r="H12" s="52"/>
    </row>
    <row r="13" spans="1:8" x14ac:dyDescent="0.3">
      <c r="H13" s="52"/>
    </row>
    <row r="14" spans="1:8" ht="26.25" x14ac:dyDescent="0.45">
      <c r="A14" s="56" t="s">
        <v>140</v>
      </c>
      <c r="B14" s="57"/>
      <c r="C14" s="57"/>
      <c r="D14" s="57"/>
      <c r="E14" s="57"/>
      <c r="F14" s="58"/>
      <c r="G14" s="36">
        <f>Table1326579[[#Totals],[Reimbursement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SUM(Table1326579['# of hours])</f>
        <v>0</v>
      </c>
      <c r="D29" s="35">
        <f>SUM(Table1326579['# of people reached])</f>
        <v>0</v>
      </c>
      <c r="E29" s="35">
        <f>SUM(Table1326579['# of participants])</f>
        <v>0</v>
      </c>
      <c r="F29" s="35">
        <f>SUBTOTAL(109,Table1326579['# of items handed out])</f>
        <v>0</v>
      </c>
      <c r="G29" s="37">
        <f>SUBTOTAL(109,Table1326579[Reimbursement Amount Requested])</f>
        <v>0</v>
      </c>
      <c r="H29" s="52"/>
    </row>
    <row r="30" spans="1:8" x14ac:dyDescent="0.3">
      <c r="H30" s="52"/>
    </row>
    <row r="31" spans="1:8" ht="26.25" x14ac:dyDescent="0.45">
      <c r="A31" s="56" t="s">
        <v>143</v>
      </c>
      <c r="B31" s="57"/>
      <c r="C31" s="57"/>
      <c r="D31" s="57"/>
      <c r="E31" s="57"/>
      <c r="F31" s="58"/>
      <c r="G31" s="36">
        <f>Table13267580[[#Totals],[Reimbursement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SUM(Table13267580['# of hours])</f>
        <v>0</v>
      </c>
      <c r="D41" s="35">
        <f>SUM(Table13267580['# of people reached])</f>
        <v>0</v>
      </c>
      <c r="E41" s="35">
        <f>SUM(Table13267580['# of participants])</f>
        <v>0</v>
      </c>
      <c r="F41" s="35">
        <f>SUBTOTAL(109,Table13267580['# of items handed out])</f>
        <v>0</v>
      </c>
      <c r="G41" s="37">
        <f>SUBTOTAL(109,Table13267580[Reimbursement Amount Requested])</f>
        <v>0</v>
      </c>
      <c r="H41" s="52"/>
    </row>
    <row r="42" spans="1:8" x14ac:dyDescent="0.3">
      <c r="H42" s="52"/>
    </row>
    <row r="43" spans="1:8" ht="26.25" x14ac:dyDescent="0.45">
      <c r="A43" s="56" t="s">
        <v>146</v>
      </c>
      <c r="B43" s="57"/>
      <c r="C43" s="57"/>
      <c r="D43" s="57"/>
      <c r="E43" s="57"/>
      <c r="F43" s="58"/>
      <c r="G43" s="36">
        <f>Table132678581[[#Totals],[Reimbursement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SUM(Table132678581['# of hours])</f>
        <v>0</v>
      </c>
      <c r="D53" s="35">
        <f>SUM(Table132678581['# of people reached])</f>
        <v>0</v>
      </c>
      <c r="E53" s="35">
        <f>SUM(Table132678581['# of participants])</f>
        <v>0</v>
      </c>
      <c r="F53" s="35">
        <f>SUBTOTAL(109,Table132678581['# of items handed out])</f>
        <v>0</v>
      </c>
      <c r="G53" s="37">
        <f>SUBTOTAL(109,Table132678581[Reimbursement Amount Requested])</f>
        <v>0</v>
      </c>
      <c r="H53" s="52"/>
    </row>
    <row r="54" spans="1:8" x14ac:dyDescent="0.3">
      <c r="H54" s="52"/>
    </row>
    <row r="55" spans="1:8" ht="26.25" x14ac:dyDescent="0.45">
      <c r="A55" s="56" t="s">
        <v>181</v>
      </c>
      <c r="B55" s="57"/>
      <c r="C55" s="57"/>
      <c r="D55" s="57"/>
      <c r="E55" s="57"/>
      <c r="F55" s="58"/>
      <c r="G55" s="36">
        <f>Table1326789582[[#Totals],[Reimbursement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SUM(Table1326789582['# of hours])</f>
        <v>0</v>
      </c>
      <c r="D62" s="35">
        <f>SUM(Table1326789582['# of people reached])</f>
        <v>0</v>
      </c>
      <c r="E62" s="35">
        <f>SUM(Table1326789582['# of participants])</f>
        <v>0</v>
      </c>
      <c r="F62" s="35">
        <f>SUBTOTAL(109,Table1326789582['# of items handed out])</f>
        <v>0</v>
      </c>
      <c r="G62" s="31">
        <f>SUBTOTAL(109,Table1326789582[Reimbursement Amount Requested])</f>
        <v>0</v>
      </c>
      <c r="H62" s="52"/>
    </row>
    <row r="63" spans="1:8" x14ac:dyDescent="0.3">
      <c r="H63" s="52"/>
    </row>
    <row r="64" spans="1:8" ht="26.25" x14ac:dyDescent="0.45">
      <c r="A64" s="56" t="s">
        <v>186</v>
      </c>
      <c r="B64" s="57"/>
      <c r="C64" s="57"/>
      <c r="D64" s="57"/>
      <c r="E64" s="57"/>
      <c r="F64" s="58"/>
      <c r="G64" s="36">
        <f>Table13267810583[[#Totals],[Reimbursement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SUM(Table13267810583['# of hours])</f>
        <v>0</v>
      </c>
      <c r="D74" s="35">
        <f>SUM(Table13267810583['# of people reached])</f>
        <v>0</v>
      </c>
      <c r="E74" s="35">
        <f>SUM(Table13267810583['# of participants])</f>
        <v>0</v>
      </c>
      <c r="F74" s="35">
        <f>SUBTOTAL(109,Table13267810583['# of items handed out])</f>
        <v>0</v>
      </c>
      <c r="G74" s="37">
        <f>SUBTOTAL(109,Table13267810583[Reimbursement Amount Requested])</f>
        <v>0</v>
      </c>
      <c r="H74" s="52"/>
    </row>
    <row r="75" spans="1:8" x14ac:dyDescent="0.3">
      <c r="H75" s="52"/>
    </row>
    <row r="76" spans="1:8" ht="26.25" x14ac:dyDescent="0.45">
      <c r="A76" s="56" t="s">
        <v>187</v>
      </c>
      <c r="B76" s="57"/>
      <c r="C76" s="57"/>
      <c r="D76" s="57"/>
      <c r="E76" s="57"/>
      <c r="F76" s="58"/>
      <c r="G76" s="36">
        <f>Table1326781011584[[#Totals],[Reimbursement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SUM(Table1326781011584['# of hours])</f>
        <v>0</v>
      </c>
      <c r="D86" s="35">
        <f>SUM(Table1326781011584['# of people reached])</f>
        <v>0</v>
      </c>
      <c r="E86" s="35">
        <f>SUM(Table1326781011584['# of participants])</f>
        <v>0</v>
      </c>
      <c r="F86" s="35">
        <f>SUBTOTAL(109,Table1326781011584['# of items handed out])</f>
        <v>0</v>
      </c>
      <c r="G86" s="37">
        <f>SUBTOTAL(109,Table1326781011584[Reimbursement Amount Requested])</f>
        <v>0</v>
      </c>
      <c r="H86" s="52"/>
    </row>
    <row r="87" spans="1:8" x14ac:dyDescent="0.3">
      <c r="H87" s="52"/>
    </row>
    <row r="88" spans="1:8" ht="26.25" x14ac:dyDescent="0.45">
      <c r="A88" s="56" t="s">
        <v>189</v>
      </c>
      <c r="B88" s="57"/>
      <c r="C88" s="57"/>
      <c r="D88" s="57"/>
      <c r="E88" s="57"/>
      <c r="F88" s="58"/>
      <c r="G88" s="36">
        <f>Table132678101112585[[#Totals],[Reimbursement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SUM(Table132678101112585['# of hours])</f>
        <v>0</v>
      </c>
      <c r="D98" s="35">
        <f>SUM(Table132678101112585['# of people reached])</f>
        <v>0</v>
      </c>
      <c r="E98" s="35">
        <f>SUM(Table132678101112585['# of participants])</f>
        <v>0</v>
      </c>
      <c r="F98" s="35">
        <f>SUBTOTAL(109,Table132678101112585['# of items handed out])</f>
        <v>0</v>
      </c>
      <c r="G98" s="37">
        <f>SUBTOTAL(109,Table132678101112585[Reimbursement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C7735878-DE56-4B33-82CA-C36D91FA4C29}">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CCBCA58F-1E69-4515-B5F1-5B57AB153027}">
          <x14:formula1>
            <xm:f>Activities!$A$4:$A$27</xm:f>
          </x14:formula1>
          <xm:sqref>A7:A11</xm:sqref>
        </x14:dataValidation>
        <x14:dataValidation type="list" allowBlank="1" showInputMessage="1" showErrorMessage="1" xr:uid="{E9D81039-D7D0-474C-BE7D-FC4493C304FE}">
          <x14:formula1>
            <xm:f>Activities!$A$49:$A$59</xm:f>
          </x14:formula1>
          <xm:sqref>A36:A40</xm:sqref>
        </x14:dataValidation>
        <x14:dataValidation type="list" allowBlank="1" showInputMessage="1" showErrorMessage="1" xr:uid="{B810BE6E-2609-449E-AC78-A32F69FC5ACD}">
          <x14:formula1>
            <xm:f>Activities!$A$30:$A$46</xm:f>
          </x14:formula1>
          <xm:sqref>A19:A28</xm:sqref>
        </x14:dataValidation>
        <x14:dataValidation type="list" allowBlank="1" showInputMessage="1" showErrorMessage="1" xr:uid="{D39D94F1-0A4F-43E6-8F4D-CECB0E9C390C}">
          <x14:formula1>
            <xm:f>Activities!$A$87</xm:f>
          </x14:formula1>
          <xm:sqref>A60:A61</xm:sqref>
        </x14:dataValidation>
        <x14:dataValidation type="list" allowBlank="1" showInputMessage="1" showErrorMessage="1" xr:uid="{B6301E5E-9438-43DE-99CE-E80F1A2A63CF}">
          <x14:formula1>
            <xm:f>Activities!$A$90:$A$100</xm:f>
          </x14:formula1>
          <xm:sqref>A69:A73</xm:sqref>
        </x14:dataValidation>
        <x14:dataValidation type="list" allowBlank="1" showInputMessage="1" showErrorMessage="1" xr:uid="{20A4F60C-2163-4334-B9B0-E99F21999112}">
          <x14:formula1>
            <xm:f>Activities!$A$103:$A$109</xm:f>
          </x14:formula1>
          <xm:sqref>A81:A85</xm:sqref>
        </x14:dataValidation>
        <x14:dataValidation type="list" allowBlank="1" showInputMessage="1" showErrorMessage="1" xr:uid="{D3FEFEAE-F87E-4DEE-8023-698E3158AC34}">
          <x14:formula1>
            <xm:f>Activities!$A$112:$A$126</xm:f>
          </x14:formula1>
          <xm:sqref>A93:A97</xm:sqref>
        </x14:dataValidation>
        <x14:dataValidation type="list" allowBlank="1" showInputMessage="1" showErrorMessage="1" xr:uid="{52F102E8-E6D6-4D55-AF3D-69961217AE51}">
          <x14:formula1>
            <xm:f>Activities!$A$62:$A$84</xm:f>
          </x14:formula1>
          <xm:sqref>A49:A52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42C51-8404-4550-AFB2-604E30E3604C}">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Table132586[[#Totals],[Reimbursement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SUM(Table132586['# of hours])</f>
        <v>0</v>
      </c>
      <c r="D12" s="35">
        <f>SUM(Table132586['# of people reached])</f>
        <v>0</v>
      </c>
      <c r="E12" s="35">
        <f>SUM(Table132586['# of participants])</f>
        <v>0</v>
      </c>
      <c r="F12" s="35">
        <f>SUBTOTAL(109,Table132586['# of items handed out])</f>
        <v>0</v>
      </c>
      <c r="G12" s="37">
        <f>SUBTOTAL(109,Table132586[Reimbursement Amount Requested])</f>
        <v>0</v>
      </c>
      <c r="H12" s="52"/>
    </row>
    <row r="13" spans="1:8" x14ac:dyDescent="0.3">
      <c r="H13" s="52"/>
    </row>
    <row r="14" spans="1:8" ht="26.25" x14ac:dyDescent="0.45">
      <c r="A14" s="56" t="s">
        <v>140</v>
      </c>
      <c r="B14" s="57"/>
      <c r="C14" s="57"/>
      <c r="D14" s="57"/>
      <c r="E14" s="57"/>
      <c r="F14" s="58"/>
      <c r="G14" s="36">
        <f>Table1326587[[#Totals],[Reimbursement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SUM(Table1326587['# of hours])</f>
        <v>0</v>
      </c>
      <c r="D29" s="35">
        <f>SUM(Table1326587['# of people reached])</f>
        <v>0</v>
      </c>
      <c r="E29" s="35">
        <f>SUM(Table1326587['# of participants])</f>
        <v>0</v>
      </c>
      <c r="F29" s="35">
        <f>SUBTOTAL(109,Table1326587['# of items handed out])</f>
        <v>0</v>
      </c>
      <c r="G29" s="37">
        <f>SUBTOTAL(109,Table1326587[Reimbursement Amount Requested])</f>
        <v>0</v>
      </c>
      <c r="H29" s="52"/>
    </row>
    <row r="30" spans="1:8" x14ac:dyDescent="0.3">
      <c r="H30" s="52"/>
    </row>
    <row r="31" spans="1:8" ht="26.25" x14ac:dyDescent="0.45">
      <c r="A31" s="56" t="s">
        <v>143</v>
      </c>
      <c r="B31" s="57"/>
      <c r="C31" s="57"/>
      <c r="D31" s="57"/>
      <c r="E31" s="57"/>
      <c r="F31" s="58"/>
      <c r="G31" s="36">
        <f>Table13267588[[#Totals],[Reimbursement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SUM(Table13267588['# of hours])</f>
        <v>0</v>
      </c>
      <c r="D41" s="35">
        <f>SUM(Table13267588['# of people reached])</f>
        <v>0</v>
      </c>
      <c r="E41" s="35">
        <f>SUM(Table13267588['# of participants])</f>
        <v>0</v>
      </c>
      <c r="F41" s="35">
        <f>SUBTOTAL(109,Table13267588['# of items handed out])</f>
        <v>0</v>
      </c>
      <c r="G41" s="37">
        <f>SUBTOTAL(109,Table13267588[Reimbursement Amount Requested])</f>
        <v>0</v>
      </c>
      <c r="H41" s="52"/>
    </row>
    <row r="42" spans="1:8" x14ac:dyDescent="0.3">
      <c r="H42" s="52"/>
    </row>
    <row r="43" spans="1:8" ht="26.25" x14ac:dyDescent="0.45">
      <c r="A43" s="56" t="s">
        <v>146</v>
      </c>
      <c r="B43" s="57"/>
      <c r="C43" s="57"/>
      <c r="D43" s="57"/>
      <c r="E43" s="57"/>
      <c r="F43" s="58"/>
      <c r="G43" s="36">
        <f>Table132678589[[#Totals],[Reimbursement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SUM(Table132678589['# of hours])</f>
        <v>0</v>
      </c>
      <c r="D53" s="35">
        <f>SUM(Table132678589['# of people reached])</f>
        <v>0</v>
      </c>
      <c r="E53" s="35">
        <f>SUM(Table132678589['# of participants])</f>
        <v>0</v>
      </c>
      <c r="F53" s="35">
        <f>SUBTOTAL(109,Table132678589['# of items handed out])</f>
        <v>0</v>
      </c>
      <c r="G53" s="37">
        <f>SUBTOTAL(109,Table132678589[Reimbursement Amount Requested])</f>
        <v>0</v>
      </c>
      <c r="H53" s="52"/>
    </row>
    <row r="54" spans="1:8" x14ac:dyDescent="0.3">
      <c r="H54" s="52"/>
    </row>
    <row r="55" spans="1:8" ht="26.25" x14ac:dyDescent="0.45">
      <c r="A55" s="56" t="s">
        <v>181</v>
      </c>
      <c r="B55" s="57"/>
      <c r="C55" s="57"/>
      <c r="D55" s="57"/>
      <c r="E55" s="57"/>
      <c r="F55" s="58"/>
      <c r="G55" s="36">
        <f>Table1326789590[[#Totals],[Reimbursement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SUM(Table1326789590['# of hours])</f>
        <v>0</v>
      </c>
      <c r="D62" s="35">
        <f>SUM(Table1326789590['# of people reached])</f>
        <v>0</v>
      </c>
      <c r="E62" s="35">
        <f>SUM(Table1326789590['# of participants])</f>
        <v>0</v>
      </c>
      <c r="F62" s="35">
        <f>SUBTOTAL(109,Table1326789590['# of items handed out])</f>
        <v>0</v>
      </c>
      <c r="G62" s="31">
        <f>SUBTOTAL(109,Table1326789590[Reimbursement Amount Requested])</f>
        <v>0</v>
      </c>
      <c r="H62" s="52"/>
    </row>
    <row r="63" spans="1:8" x14ac:dyDescent="0.3">
      <c r="H63" s="52"/>
    </row>
    <row r="64" spans="1:8" ht="26.25" x14ac:dyDescent="0.45">
      <c r="A64" s="56" t="s">
        <v>186</v>
      </c>
      <c r="B64" s="57"/>
      <c r="C64" s="57"/>
      <c r="D64" s="57"/>
      <c r="E64" s="57"/>
      <c r="F64" s="58"/>
      <c r="G64" s="36">
        <f>Table13267810591[[#Totals],[Reimbursement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SUM(Table13267810591['# of hours])</f>
        <v>0</v>
      </c>
      <c r="D74" s="35">
        <f>SUM(Table13267810591['# of people reached])</f>
        <v>0</v>
      </c>
      <c r="E74" s="35">
        <f>SUM(Table13267810591['# of participants])</f>
        <v>0</v>
      </c>
      <c r="F74" s="35">
        <f>SUBTOTAL(109,Table13267810591['# of items handed out])</f>
        <v>0</v>
      </c>
      <c r="G74" s="37">
        <f>SUBTOTAL(109,Table13267810591[Reimbursement Amount Requested])</f>
        <v>0</v>
      </c>
      <c r="H74" s="52"/>
    </row>
    <row r="75" spans="1:8" x14ac:dyDescent="0.3">
      <c r="H75" s="52"/>
    </row>
    <row r="76" spans="1:8" ht="26.25" x14ac:dyDescent="0.45">
      <c r="A76" s="56" t="s">
        <v>187</v>
      </c>
      <c r="B76" s="57"/>
      <c r="C76" s="57"/>
      <c r="D76" s="57"/>
      <c r="E76" s="57"/>
      <c r="F76" s="58"/>
      <c r="G76" s="36">
        <f>Table1326781011592[[#Totals],[Reimbursement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SUM(Table1326781011592['# of hours])</f>
        <v>0</v>
      </c>
      <c r="D86" s="35">
        <f>SUM(Table1326781011592['# of people reached])</f>
        <v>0</v>
      </c>
      <c r="E86" s="35">
        <f>SUM(Table1326781011592['# of participants])</f>
        <v>0</v>
      </c>
      <c r="F86" s="35">
        <f>SUBTOTAL(109,Table1326781011592['# of items handed out])</f>
        <v>0</v>
      </c>
      <c r="G86" s="37">
        <f>SUBTOTAL(109,Table1326781011592[Reimbursement Amount Requested])</f>
        <v>0</v>
      </c>
      <c r="H86" s="52"/>
    </row>
    <row r="87" spans="1:8" x14ac:dyDescent="0.3">
      <c r="H87" s="52"/>
    </row>
    <row r="88" spans="1:8" ht="26.25" x14ac:dyDescent="0.45">
      <c r="A88" s="56" t="s">
        <v>189</v>
      </c>
      <c r="B88" s="57"/>
      <c r="C88" s="57"/>
      <c r="D88" s="57"/>
      <c r="E88" s="57"/>
      <c r="F88" s="58"/>
      <c r="G88" s="36">
        <f>Table132678101112593[[#Totals],[Reimbursement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SUM(Table132678101112593['# of hours])</f>
        <v>0</v>
      </c>
      <c r="D98" s="35">
        <f>SUM(Table132678101112593['# of people reached])</f>
        <v>0</v>
      </c>
      <c r="E98" s="35">
        <f>SUM(Table132678101112593['# of participants])</f>
        <v>0</v>
      </c>
      <c r="F98" s="35">
        <f>SUBTOTAL(109,Table132678101112593['# of items handed out])</f>
        <v>0</v>
      </c>
      <c r="G98" s="37">
        <f>SUBTOTAL(109,Table132678101112593[Reimbursement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CCCD72DC-9BE1-4018-A392-D63822BA749F}">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88D5316D-E429-4BC4-A176-0B383658EDC3}">
          <x14:formula1>
            <xm:f>Activities!$A$62:$A$84</xm:f>
          </x14:formula1>
          <xm:sqref>A49:A52</xm:sqref>
        </x14:dataValidation>
        <x14:dataValidation type="list" allowBlank="1" showInputMessage="1" showErrorMessage="1" xr:uid="{AC3F2126-56EB-486A-8DD8-AE1903C05C18}">
          <x14:formula1>
            <xm:f>Activities!$A$112:$A$126</xm:f>
          </x14:formula1>
          <xm:sqref>A93:A97</xm:sqref>
        </x14:dataValidation>
        <x14:dataValidation type="list" allowBlank="1" showInputMessage="1" showErrorMessage="1" xr:uid="{0A7D62FF-092A-4DAD-A13C-493C6A72B2A2}">
          <x14:formula1>
            <xm:f>Activities!$A$103:$A$109</xm:f>
          </x14:formula1>
          <xm:sqref>A81:A85</xm:sqref>
        </x14:dataValidation>
        <x14:dataValidation type="list" allowBlank="1" showInputMessage="1" showErrorMessage="1" xr:uid="{B6D2C24D-6AC5-4027-97E4-B1273427BF9F}">
          <x14:formula1>
            <xm:f>Activities!$A$90:$A$100</xm:f>
          </x14:formula1>
          <xm:sqref>A69:A73</xm:sqref>
        </x14:dataValidation>
        <x14:dataValidation type="list" allowBlank="1" showInputMessage="1" showErrorMessage="1" xr:uid="{C760B1F9-0C1C-4534-A177-133B01A9A5D9}">
          <x14:formula1>
            <xm:f>Activities!$A$87</xm:f>
          </x14:formula1>
          <xm:sqref>A60:A61</xm:sqref>
        </x14:dataValidation>
        <x14:dataValidation type="list" allowBlank="1" showInputMessage="1" showErrorMessage="1" xr:uid="{38D650CA-51BD-4097-8E51-09C11A48EF51}">
          <x14:formula1>
            <xm:f>Activities!$A$30:$A$46</xm:f>
          </x14:formula1>
          <xm:sqref>A19:A28</xm:sqref>
        </x14:dataValidation>
        <x14:dataValidation type="list" allowBlank="1" showInputMessage="1" showErrorMessage="1" xr:uid="{CBD0502F-8DE2-44DD-9EFB-87C9677C8875}">
          <x14:formula1>
            <xm:f>Activities!$A$49:$A$59</xm:f>
          </x14:formula1>
          <xm:sqref>A36:A40</xm:sqref>
        </x14:dataValidation>
        <x14:dataValidation type="list" allowBlank="1" showInputMessage="1" showErrorMessage="1" xr:uid="{4FD9159D-2FAF-422E-8ED3-C152B5A12B64}">
          <x14:formula1>
            <xm:f>Activities!$A$4:$A$27</xm:f>
          </x14:formula1>
          <xm:sqref>A7:A11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BE09A-AB61-40DC-9377-5C1A2C80B57A}">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Table132594[[#Totals],[Reimbursement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SUM(Table132594['# of hours])</f>
        <v>0</v>
      </c>
      <c r="D12" s="35">
        <f>SUM(Table132594['# of people reached])</f>
        <v>0</v>
      </c>
      <c r="E12" s="35">
        <f>SUM(Table132594['# of participants])</f>
        <v>0</v>
      </c>
      <c r="F12" s="35">
        <f>SUBTOTAL(109,Table132594['# of items handed out])</f>
        <v>0</v>
      </c>
      <c r="G12" s="37">
        <f>SUBTOTAL(109,Table132594[Reimbursement Amount Requested])</f>
        <v>0</v>
      </c>
      <c r="H12" s="52"/>
    </row>
    <row r="13" spans="1:8" x14ac:dyDescent="0.3">
      <c r="H13" s="52"/>
    </row>
    <row r="14" spans="1:8" ht="26.25" x14ac:dyDescent="0.45">
      <c r="A14" s="56" t="s">
        <v>140</v>
      </c>
      <c r="B14" s="57"/>
      <c r="C14" s="57"/>
      <c r="D14" s="57"/>
      <c r="E14" s="57"/>
      <c r="F14" s="58"/>
      <c r="G14" s="36">
        <f>Table1326595[[#Totals],[Reimbursement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SUM(Table1326595['# of hours])</f>
        <v>0</v>
      </c>
      <c r="D29" s="35">
        <f>SUM(Table1326595['# of people reached])</f>
        <v>0</v>
      </c>
      <c r="E29" s="35">
        <f>SUM(Table1326595['# of participants])</f>
        <v>0</v>
      </c>
      <c r="F29" s="35">
        <f>SUBTOTAL(109,Table1326595['# of items handed out])</f>
        <v>0</v>
      </c>
      <c r="G29" s="37">
        <f>SUBTOTAL(109,Table1326595[Reimbursement Amount Requested])</f>
        <v>0</v>
      </c>
      <c r="H29" s="52"/>
    </row>
    <row r="30" spans="1:8" x14ac:dyDescent="0.3">
      <c r="H30" s="52"/>
    </row>
    <row r="31" spans="1:8" ht="26.25" x14ac:dyDescent="0.45">
      <c r="A31" s="56" t="s">
        <v>143</v>
      </c>
      <c r="B31" s="57"/>
      <c r="C31" s="57"/>
      <c r="D31" s="57"/>
      <c r="E31" s="57"/>
      <c r="F31" s="58"/>
      <c r="G31" s="36">
        <f>Table13267596[[#Totals],[Reimbursement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SUM(Table13267596['# of hours])</f>
        <v>0</v>
      </c>
      <c r="D41" s="35">
        <f>SUM(Table13267596['# of people reached])</f>
        <v>0</v>
      </c>
      <c r="E41" s="35">
        <f>SUM(Table13267596['# of participants])</f>
        <v>0</v>
      </c>
      <c r="F41" s="35">
        <f>SUBTOTAL(109,Table13267596['# of items handed out])</f>
        <v>0</v>
      </c>
      <c r="G41" s="37">
        <f>SUBTOTAL(109,Table13267596[Reimbursement Amount Requested])</f>
        <v>0</v>
      </c>
      <c r="H41" s="52"/>
    </row>
    <row r="42" spans="1:8" x14ac:dyDescent="0.3">
      <c r="H42" s="52"/>
    </row>
    <row r="43" spans="1:8" ht="26.25" x14ac:dyDescent="0.45">
      <c r="A43" s="56" t="s">
        <v>146</v>
      </c>
      <c r="B43" s="57"/>
      <c r="C43" s="57"/>
      <c r="D43" s="57"/>
      <c r="E43" s="57"/>
      <c r="F43" s="58"/>
      <c r="G43" s="36">
        <f>Table132678597[[#Totals],[Reimbursement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SUM(Table132678597['# of hours])</f>
        <v>0</v>
      </c>
      <c r="D53" s="35">
        <f>SUM(Table132678597['# of people reached])</f>
        <v>0</v>
      </c>
      <c r="E53" s="35">
        <f>SUM(Table132678597['# of participants])</f>
        <v>0</v>
      </c>
      <c r="F53" s="35">
        <f>SUBTOTAL(109,Table132678597['# of items handed out])</f>
        <v>0</v>
      </c>
      <c r="G53" s="37">
        <f>SUBTOTAL(109,Table132678597[Reimbursement Amount Requested])</f>
        <v>0</v>
      </c>
      <c r="H53" s="52"/>
    </row>
    <row r="54" spans="1:8" x14ac:dyDescent="0.3">
      <c r="H54" s="52"/>
    </row>
    <row r="55" spans="1:8" ht="26.25" x14ac:dyDescent="0.45">
      <c r="A55" s="56" t="s">
        <v>181</v>
      </c>
      <c r="B55" s="57"/>
      <c r="C55" s="57"/>
      <c r="D55" s="57"/>
      <c r="E55" s="57"/>
      <c r="F55" s="58"/>
      <c r="G55" s="36">
        <f>Table1326789598[[#Totals],[Reimbursement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SUM(Table1326789598['# of hours])</f>
        <v>0</v>
      </c>
      <c r="D62" s="35">
        <f>SUM(Table1326789598['# of people reached])</f>
        <v>0</v>
      </c>
      <c r="E62" s="35">
        <f>SUM(Table1326789598['# of participants])</f>
        <v>0</v>
      </c>
      <c r="F62" s="35">
        <f>SUBTOTAL(109,Table1326789598['# of items handed out])</f>
        <v>0</v>
      </c>
      <c r="G62" s="31">
        <f>SUBTOTAL(109,Table1326789598[Reimbursement Amount Requested])</f>
        <v>0</v>
      </c>
      <c r="H62" s="52"/>
    </row>
    <row r="63" spans="1:8" x14ac:dyDescent="0.3">
      <c r="H63" s="52"/>
    </row>
    <row r="64" spans="1:8" ht="26.25" x14ac:dyDescent="0.45">
      <c r="A64" s="56" t="s">
        <v>186</v>
      </c>
      <c r="B64" s="57"/>
      <c r="C64" s="57"/>
      <c r="D64" s="57"/>
      <c r="E64" s="57"/>
      <c r="F64" s="58"/>
      <c r="G64" s="36">
        <f>Table13267810599[[#Totals],[Reimbursement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SUM(Table13267810599['# of hours])</f>
        <v>0</v>
      </c>
      <c r="D74" s="35">
        <f>SUM(Table13267810599['# of people reached])</f>
        <v>0</v>
      </c>
      <c r="E74" s="35">
        <f>SUM(Table13267810599['# of participants])</f>
        <v>0</v>
      </c>
      <c r="F74" s="35">
        <f>SUBTOTAL(109,Table13267810599['# of items handed out])</f>
        <v>0</v>
      </c>
      <c r="G74" s="37">
        <f>SUBTOTAL(109,Table13267810599[Reimbursement Amount Requested])</f>
        <v>0</v>
      </c>
      <c r="H74" s="52"/>
    </row>
    <row r="75" spans="1:8" x14ac:dyDescent="0.3">
      <c r="H75" s="52"/>
    </row>
    <row r="76" spans="1:8" ht="26.25" x14ac:dyDescent="0.45">
      <c r="A76" s="56" t="s">
        <v>187</v>
      </c>
      <c r="B76" s="57"/>
      <c r="C76" s="57"/>
      <c r="D76" s="57"/>
      <c r="E76" s="57"/>
      <c r="F76" s="58"/>
      <c r="G76" s="36">
        <f>Table1326781011600[[#Totals],[Reimbursement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SUM(Table1326781011600['# of hours])</f>
        <v>0</v>
      </c>
      <c r="D86" s="35">
        <f>SUM(Table1326781011600['# of people reached])</f>
        <v>0</v>
      </c>
      <c r="E86" s="35">
        <f>SUM(Table1326781011600['# of participants])</f>
        <v>0</v>
      </c>
      <c r="F86" s="35">
        <f>SUBTOTAL(109,Table1326781011600['# of items handed out])</f>
        <v>0</v>
      </c>
      <c r="G86" s="37">
        <f>SUBTOTAL(109,Table1326781011600[Reimbursement Amount Requested])</f>
        <v>0</v>
      </c>
      <c r="H86" s="52"/>
    </row>
    <row r="87" spans="1:8" x14ac:dyDescent="0.3">
      <c r="H87" s="52"/>
    </row>
    <row r="88" spans="1:8" ht="26.25" x14ac:dyDescent="0.45">
      <c r="A88" s="56" t="s">
        <v>189</v>
      </c>
      <c r="B88" s="57"/>
      <c r="C88" s="57"/>
      <c r="D88" s="57"/>
      <c r="E88" s="57"/>
      <c r="F88" s="58"/>
      <c r="G88" s="36">
        <f>Table132678101112601[[#Totals],[Reimbursement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SUM(Table132678101112601['# of hours])</f>
        <v>0</v>
      </c>
      <c r="D98" s="35">
        <f>SUM(Table132678101112601['# of people reached])</f>
        <v>0</v>
      </c>
      <c r="E98" s="35">
        <f>SUM(Table132678101112601['# of participants])</f>
        <v>0</v>
      </c>
      <c r="F98" s="35">
        <f>SUBTOTAL(109,Table132678101112601['# of items handed out])</f>
        <v>0</v>
      </c>
      <c r="G98" s="37">
        <f>SUBTOTAL(109,Table132678101112601[Reimbursement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148474A7-E635-417B-9CF2-31D65A92D97E}">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DD1F034A-C3CC-497B-B643-4C51DA44DD9C}">
          <x14:formula1>
            <xm:f>Activities!$A$4:$A$27</xm:f>
          </x14:formula1>
          <xm:sqref>A7:A11</xm:sqref>
        </x14:dataValidation>
        <x14:dataValidation type="list" allowBlank="1" showInputMessage="1" showErrorMessage="1" xr:uid="{0A074440-C92C-45C8-9D69-70E276AA5F1D}">
          <x14:formula1>
            <xm:f>Activities!$A$49:$A$59</xm:f>
          </x14:formula1>
          <xm:sqref>A36:A40</xm:sqref>
        </x14:dataValidation>
        <x14:dataValidation type="list" allowBlank="1" showInputMessage="1" showErrorMessage="1" xr:uid="{AF1CE671-0829-4C53-90D5-60C0435FA2BC}">
          <x14:formula1>
            <xm:f>Activities!$A$30:$A$46</xm:f>
          </x14:formula1>
          <xm:sqref>A19:A28</xm:sqref>
        </x14:dataValidation>
        <x14:dataValidation type="list" allowBlank="1" showInputMessage="1" showErrorMessage="1" xr:uid="{F7FD5331-0F63-4112-9A4C-56F97CE1F94A}">
          <x14:formula1>
            <xm:f>Activities!$A$87</xm:f>
          </x14:formula1>
          <xm:sqref>A60:A61</xm:sqref>
        </x14:dataValidation>
        <x14:dataValidation type="list" allowBlank="1" showInputMessage="1" showErrorMessage="1" xr:uid="{8FB1F42D-3680-4B15-825E-BCD859CEC2E8}">
          <x14:formula1>
            <xm:f>Activities!$A$90:$A$100</xm:f>
          </x14:formula1>
          <xm:sqref>A69:A73</xm:sqref>
        </x14:dataValidation>
        <x14:dataValidation type="list" allowBlank="1" showInputMessage="1" showErrorMessage="1" xr:uid="{9BA0F3B9-A760-4B08-95E6-F1077C4BAE2C}">
          <x14:formula1>
            <xm:f>Activities!$A$103:$A$109</xm:f>
          </x14:formula1>
          <xm:sqref>A81:A85</xm:sqref>
        </x14:dataValidation>
        <x14:dataValidation type="list" allowBlank="1" showInputMessage="1" showErrorMessage="1" xr:uid="{EFB6D88F-F23E-4FB5-A4C2-7B7D2FC5CEE1}">
          <x14:formula1>
            <xm:f>Activities!$A$112:$A$126</xm:f>
          </x14:formula1>
          <xm:sqref>A93:A97</xm:sqref>
        </x14:dataValidation>
        <x14:dataValidation type="list" allowBlank="1" showInputMessage="1" showErrorMessage="1" xr:uid="{D2FE3327-3B99-47C9-BC85-861793D57F1B}">
          <x14:formula1>
            <xm:f>Activities!$A$62:$A$84</xm:f>
          </x14:formula1>
          <xm:sqref>A49:A52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D45BA-3B3E-48CB-9AC2-8A60F954EEE8}">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Table132602[[#Totals],[Reimbursement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SUM(Table132602['# of hours])</f>
        <v>0</v>
      </c>
      <c r="D12" s="35">
        <f>SUM(Table132602['# of people reached])</f>
        <v>0</v>
      </c>
      <c r="E12" s="35">
        <f>SUM(Table132602['# of participants])</f>
        <v>0</v>
      </c>
      <c r="F12" s="35">
        <f>SUBTOTAL(109,Table132602['# of items handed out])</f>
        <v>0</v>
      </c>
      <c r="G12" s="37">
        <f>SUBTOTAL(109,Table132602[Reimbursement Amount Requested])</f>
        <v>0</v>
      </c>
      <c r="H12" s="52"/>
    </row>
    <row r="13" spans="1:8" x14ac:dyDescent="0.3">
      <c r="H13" s="52"/>
    </row>
    <row r="14" spans="1:8" ht="26.25" x14ac:dyDescent="0.45">
      <c r="A14" s="56" t="s">
        <v>140</v>
      </c>
      <c r="B14" s="57"/>
      <c r="C14" s="57"/>
      <c r="D14" s="57"/>
      <c r="E14" s="57"/>
      <c r="F14" s="58"/>
      <c r="G14" s="36">
        <f>Table1326603[[#Totals],[Reimbursement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SUM(Table1326603['# of hours])</f>
        <v>0</v>
      </c>
      <c r="D29" s="35">
        <f>SUM(Table1326603['# of people reached])</f>
        <v>0</v>
      </c>
      <c r="E29" s="35">
        <f>SUM(Table1326603['# of participants])</f>
        <v>0</v>
      </c>
      <c r="F29" s="35">
        <f>SUBTOTAL(109,Table1326603['# of items handed out])</f>
        <v>0</v>
      </c>
      <c r="G29" s="37">
        <f>SUBTOTAL(109,Table1326603[Reimbursement Amount Requested])</f>
        <v>0</v>
      </c>
      <c r="H29" s="52"/>
    </row>
    <row r="30" spans="1:8" x14ac:dyDescent="0.3">
      <c r="H30" s="52"/>
    </row>
    <row r="31" spans="1:8" ht="26.25" x14ac:dyDescent="0.45">
      <c r="A31" s="56" t="s">
        <v>143</v>
      </c>
      <c r="B31" s="57"/>
      <c r="C31" s="57"/>
      <c r="D31" s="57"/>
      <c r="E31" s="57"/>
      <c r="F31" s="58"/>
      <c r="G31" s="36">
        <f>Table13267604[[#Totals],[Reimbursement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SUM(Table13267604['# of hours])</f>
        <v>0</v>
      </c>
      <c r="D41" s="35">
        <f>SUM(Table13267604['# of people reached])</f>
        <v>0</v>
      </c>
      <c r="E41" s="35">
        <f>SUM(Table13267604['# of participants])</f>
        <v>0</v>
      </c>
      <c r="F41" s="35">
        <f>SUBTOTAL(109,Table13267604['# of items handed out])</f>
        <v>0</v>
      </c>
      <c r="G41" s="37">
        <f>SUBTOTAL(109,Table13267604[Reimbursement Amount Requested])</f>
        <v>0</v>
      </c>
      <c r="H41" s="52"/>
    </row>
    <row r="42" spans="1:8" x14ac:dyDescent="0.3">
      <c r="H42" s="52"/>
    </row>
    <row r="43" spans="1:8" ht="26.25" x14ac:dyDescent="0.45">
      <c r="A43" s="56" t="s">
        <v>146</v>
      </c>
      <c r="B43" s="57"/>
      <c r="C43" s="57"/>
      <c r="D43" s="57"/>
      <c r="E43" s="57"/>
      <c r="F43" s="58"/>
      <c r="G43" s="36">
        <f>Table132678605[[#Totals],[Reimbursement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SUM(Table132678605['# of hours])</f>
        <v>0</v>
      </c>
      <c r="D53" s="35">
        <f>SUM(Table132678605['# of people reached])</f>
        <v>0</v>
      </c>
      <c r="E53" s="35">
        <f>SUM(Table132678605['# of participants])</f>
        <v>0</v>
      </c>
      <c r="F53" s="35">
        <f>SUBTOTAL(109,Table132678605['# of items handed out])</f>
        <v>0</v>
      </c>
      <c r="G53" s="37">
        <f>SUBTOTAL(109,Table132678605[Reimbursement Amount Requested])</f>
        <v>0</v>
      </c>
      <c r="H53" s="52"/>
    </row>
    <row r="54" spans="1:8" x14ac:dyDescent="0.3">
      <c r="H54" s="52"/>
    </row>
    <row r="55" spans="1:8" ht="26.25" x14ac:dyDescent="0.45">
      <c r="A55" s="56" t="s">
        <v>181</v>
      </c>
      <c r="B55" s="57"/>
      <c r="C55" s="57"/>
      <c r="D55" s="57"/>
      <c r="E55" s="57"/>
      <c r="F55" s="58"/>
      <c r="G55" s="36">
        <f>Table1326789606[[#Totals],[Reimbursement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SUM(Table1326789606['# of hours])</f>
        <v>0</v>
      </c>
      <c r="D62" s="35">
        <f>SUM(Table1326789606['# of people reached])</f>
        <v>0</v>
      </c>
      <c r="E62" s="35">
        <f>SUM(Table1326789606['# of participants])</f>
        <v>0</v>
      </c>
      <c r="F62" s="35">
        <f>SUBTOTAL(109,Table1326789606['# of items handed out])</f>
        <v>0</v>
      </c>
      <c r="G62" s="31">
        <f>SUBTOTAL(109,Table1326789606[Reimbursement Amount Requested])</f>
        <v>0</v>
      </c>
      <c r="H62" s="52"/>
    </row>
    <row r="63" spans="1:8" x14ac:dyDescent="0.3">
      <c r="H63" s="52"/>
    </row>
    <row r="64" spans="1:8" ht="26.25" x14ac:dyDescent="0.45">
      <c r="A64" s="56" t="s">
        <v>186</v>
      </c>
      <c r="B64" s="57"/>
      <c r="C64" s="57"/>
      <c r="D64" s="57"/>
      <c r="E64" s="57"/>
      <c r="F64" s="58"/>
      <c r="G64" s="36">
        <f>Table13267810607[[#Totals],[Reimbursement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SUM(Table13267810607['# of hours])</f>
        <v>0</v>
      </c>
      <c r="D74" s="35">
        <f>SUM(Table13267810607['# of people reached])</f>
        <v>0</v>
      </c>
      <c r="E74" s="35">
        <f>SUM(Table13267810607['# of participants])</f>
        <v>0</v>
      </c>
      <c r="F74" s="35">
        <f>SUBTOTAL(109,Table13267810607['# of items handed out])</f>
        <v>0</v>
      </c>
      <c r="G74" s="37">
        <f>SUBTOTAL(109,Table13267810607[Reimbursement Amount Requested])</f>
        <v>0</v>
      </c>
      <c r="H74" s="52"/>
    </row>
    <row r="75" spans="1:8" x14ac:dyDescent="0.3">
      <c r="H75" s="52"/>
    </row>
    <row r="76" spans="1:8" ht="26.25" x14ac:dyDescent="0.45">
      <c r="A76" s="56" t="s">
        <v>187</v>
      </c>
      <c r="B76" s="57"/>
      <c r="C76" s="57"/>
      <c r="D76" s="57"/>
      <c r="E76" s="57"/>
      <c r="F76" s="58"/>
      <c r="G76" s="36">
        <f>Table1326781011608[[#Totals],[Reimbursement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SUM(Table1326781011608['# of hours])</f>
        <v>0</v>
      </c>
      <c r="D86" s="35">
        <f>SUM(Table1326781011608['# of people reached])</f>
        <v>0</v>
      </c>
      <c r="E86" s="35">
        <f>SUM(Table1326781011608['# of participants])</f>
        <v>0</v>
      </c>
      <c r="F86" s="35">
        <f>SUBTOTAL(109,Table1326781011608['# of items handed out])</f>
        <v>0</v>
      </c>
      <c r="G86" s="37">
        <f>SUBTOTAL(109,Table1326781011608[Reimbursement Amount Requested])</f>
        <v>0</v>
      </c>
      <c r="H86" s="52"/>
    </row>
    <row r="87" spans="1:8" x14ac:dyDescent="0.3">
      <c r="H87" s="52"/>
    </row>
    <row r="88" spans="1:8" ht="26.25" x14ac:dyDescent="0.45">
      <c r="A88" s="56" t="s">
        <v>189</v>
      </c>
      <c r="B88" s="57"/>
      <c r="C88" s="57"/>
      <c r="D88" s="57"/>
      <c r="E88" s="57"/>
      <c r="F88" s="58"/>
      <c r="G88" s="36">
        <f>Table132678101112609[[#Totals],[Reimbursement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SUM(Table132678101112609['# of hours])</f>
        <v>0</v>
      </c>
      <c r="D98" s="35">
        <f>SUM(Table132678101112609['# of people reached])</f>
        <v>0</v>
      </c>
      <c r="E98" s="35">
        <f>SUM(Table132678101112609['# of participants])</f>
        <v>0</v>
      </c>
      <c r="F98" s="35">
        <f>SUBTOTAL(109,Table132678101112609['# of items handed out])</f>
        <v>0</v>
      </c>
      <c r="G98" s="37">
        <f>SUBTOTAL(109,Table132678101112609[Reimbursement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1824891C-33E4-4994-9BC4-FB34B0CEECBB}">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93697AE0-FD67-411E-AFE4-C9B494E49FD5}">
          <x14:formula1>
            <xm:f>Activities!$A$62:$A$84</xm:f>
          </x14:formula1>
          <xm:sqref>A49:A52</xm:sqref>
        </x14:dataValidation>
        <x14:dataValidation type="list" allowBlank="1" showInputMessage="1" showErrorMessage="1" xr:uid="{4580F029-CEAC-4D1F-99B3-D5EFD7E4E37F}">
          <x14:formula1>
            <xm:f>Activities!$A$112:$A$126</xm:f>
          </x14:formula1>
          <xm:sqref>A93:A97</xm:sqref>
        </x14:dataValidation>
        <x14:dataValidation type="list" allowBlank="1" showInputMessage="1" showErrorMessage="1" xr:uid="{84093FED-152C-4CCF-B7B3-D83CE19C1B3F}">
          <x14:formula1>
            <xm:f>Activities!$A$103:$A$109</xm:f>
          </x14:formula1>
          <xm:sqref>A81:A85</xm:sqref>
        </x14:dataValidation>
        <x14:dataValidation type="list" allowBlank="1" showInputMessage="1" showErrorMessage="1" xr:uid="{95C43151-F2B4-47FF-AA9E-194541F192D7}">
          <x14:formula1>
            <xm:f>Activities!$A$90:$A$100</xm:f>
          </x14:formula1>
          <xm:sqref>A69:A73</xm:sqref>
        </x14:dataValidation>
        <x14:dataValidation type="list" allowBlank="1" showInputMessage="1" showErrorMessage="1" xr:uid="{A873D3A8-3ADD-420D-AB64-E0B8F4C82A36}">
          <x14:formula1>
            <xm:f>Activities!$A$87</xm:f>
          </x14:formula1>
          <xm:sqref>A60:A61</xm:sqref>
        </x14:dataValidation>
        <x14:dataValidation type="list" allowBlank="1" showInputMessage="1" showErrorMessage="1" xr:uid="{371D0967-D963-4212-B03E-65C18831AE50}">
          <x14:formula1>
            <xm:f>Activities!$A$30:$A$46</xm:f>
          </x14:formula1>
          <xm:sqref>A19:A28</xm:sqref>
        </x14:dataValidation>
        <x14:dataValidation type="list" allowBlank="1" showInputMessage="1" showErrorMessage="1" xr:uid="{EF2E8652-5FF4-44BD-AC22-0E9008069024}">
          <x14:formula1>
            <xm:f>Activities!$A$49:$A$59</xm:f>
          </x14:formula1>
          <xm:sqref>A36:A40</xm:sqref>
        </x14:dataValidation>
        <x14:dataValidation type="list" allowBlank="1" showInputMessage="1" showErrorMessage="1" xr:uid="{50EE50D7-2C7F-4824-B8B2-C56853786E23}">
          <x14:formula1>
            <xm:f>Activities!$A$4:$A$27</xm:f>
          </x14:formula1>
          <xm:sqref>A7:A11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7590C-43B7-4D8F-8BAE-46F8BA3EF749}">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Table132610[[#Totals],[Reimbursement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SUM(Table132610['# of hours])</f>
        <v>0</v>
      </c>
      <c r="D12" s="35">
        <f>SUM(Table132610['# of people reached])</f>
        <v>0</v>
      </c>
      <c r="E12" s="35">
        <f>SUM(Table132610['# of participants])</f>
        <v>0</v>
      </c>
      <c r="F12" s="35">
        <f>SUBTOTAL(109,Table132610['# of items handed out])</f>
        <v>0</v>
      </c>
      <c r="G12" s="37">
        <f>SUBTOTAL(109,Table132610[Reimbursement Amount Requested])</f>
        <v>0</v>
      </c>
      <c r="H12" s="52"/>
    </row>
    <row r="13" spans="1:8" x14ac:dyDescent="0.3">
      <c r="H13" s="52"/>
    </row>
    <row r="14" spans="1:8" ht="26.25" x14ac:dyDescent="0.45">
      <c r="A14" s="56" t="s">
        <v>140</v>
      </c>
      <c r="B14" s="57"/>
      <c r="C14" s="57"/>
      <c r="D14" s="57"/>
      <c r="E14" s="57"/>
      <c r="F14" s="58"/>
      <c r="G14" s="36">
        <f>Table1326611[[#Totals],[Reimbursement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SUM(Table1326611['# of hours])</f>
        <v>0</v>
      </c>
      <c r="D29" s="35">
        <f>SUM(Table1326611['# of people reached])</f>
        <v>0</v>
      </c>
      <c r="E29" s="35">
        <f>SUM(Table1326611['# of participants])</f>
        <v>0</v>
      </c>
      <c r="F29" s="35">
        <f>SUBTOTAL(109,Table1326611['# of items handed out])</f>
        <v>0</v>
      </c>
      <c r="G29" s="37">
        <f>SUBTOTAL(109,Table1326611[Reimbursement Amount Requested])</f>
        <v>0</v>
      </c>
      <c r="H29" s="52"/>
    </row>
    <row r="30" spans="1:8" x14ac:dyDescent="0.3">
      <c r="H30" s="52"/>
    </row>
    <row r="31" spans="1:8" ht="26.25" x14ac:dyDescent="0.45">
      <c r="A31" s="56" t="s">
        <v>143</v>
      </c>
      <c r="B31" s="57"/>
      <c r="C31" s="57"/>
      <c r="D31" s="57"/>
      <c r="E31" s="57"/>
      <c r="F31" s="58"/>
      <c r="G31" s="36">
        <f>Table13267612[[#Totals],[Reimbursement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SUM(Table13267612['# of hours])</f>
        <v>0</v>
      </c>
      <c r="D41" s="35">
        <f>SUM(Table13267612['# of people reached])</f>
        <v>0</v>
      </c>
      <c r="E41" s="35">
        <f>SUM(Table13267612['# of participants])</f>
        <v>0</v>
      </c>
      <c r="F41" s="35">
        <f>SUBTOTAL(109,Table13267612['# of items handed out])</f>
        <v>0</v>
      </c>
      <c r="G41" s="37">
        <f>SUBTOTAL(109,Table13267612[Reimbursement Amount Requested])</f>
        <v>0</v>
      </c>
      <c r="H41" s="52"/>
    </row>
    <row r="42" spans="1:8" x14ac:dyDescent="0.3">
      <c r="H42" s="52"/>
    </row>
    <row r="43" spans="1:8" ht="26.25" x14ac:dyDescent="0.45">
      <c r="A43" s="56" t="s">
        <v>146</v>
      </c>
      <c r="B43" s="57"/>
      <c r="C43" s="57"/>
      <c r="D43" s="57"/>
      <c r="E43" s="57"/>
      <c r="F43" s="58"/>
      <c r="G43" s="36">
        <f>Table132678613[[#Totals],[Reimbursement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SUM(Table132678613['# of hours])</f>
        <v>0</v>
      </c>
      <c r="D53" s="35">
        <f>SUM(Table132678613['# of people reached])</f>
        <v>0</v>
      </c>
      <c r="E53" s="35">
        <f>SUM(Table132678613['# of participants])</f>
        <v>0</v>
      </c>
      <c r="F53" s="35">
        <f>SUBTOTAL(109,Table132678613['# of items handed out])</f>
        <v>0</v>
      </c>
      <c r="G53" s="37">
        <f>SUBTOTAL(109,Table132678613[Reimbursement Amount Requested])</f>
        <v>0</v>
      </c>
      <c r="H53" s="52"/>
    </row>
    <row r="54" spans="1:8" x14ac:dyDescent="0.3">
      <c r="H54" s="52"/>
    </row>
    <row r="55" spans="1:8" ht="26.25" x14ac:dyDescent="0.45">
      <c r="A55" s="56" t="s">
        <v>181</v>
      </c>
      <c r="B55" s="57"/>
      <c r="C55" s="57"/>
      <c r="D55" s="57"/>
      <c r="E55" s="57"/>
      <c r="F55" s="58"/>
      <c r="G55" s="36">
        <f>Table1326789614[[#Totals],[Reimbursement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SUM(Table1326789614['# of hours])</f>
        <v>0</v>
      </c>
      <c r="D62" s="35">
        <f>SUM(Table1326789614['# of people reached])</f>
        <v>0</v>
      </c>
      <c r="E62" s="35">
        <f>SUM(Table1326789614['# of participants])</f>
        <v>0</v>
      </c>
      <c r="F62" s="35">
        <f>SUBTOTAL(109,Table1326789614['# of items handed out])</f>
        <v>0</v>
      </c>
      <c r="G62" s="31">
        <f>SUBTOTAL(109,Table1326789614[Reimbursement Amount Requested])</f>
        <v>0</v>
      </c>
      <c r="H62" s="52"/>
    </row>
    <row r="63" spans="1:8" x14ac:dyDescent="0.3">
      <c r="H63" s="52"/>
    </row>
    <row r="64" spans="1:8" ht="26.25" x14ac:dyDescent="0.45">
      <c r="A64" s="56" t="s">
        <v>186</v>
      </c>
      <c r="B64" s="57"/>
      <c r="C64" s="57"/>
      <c r="D64" s="57"/>
      <c r="E64" s="57"/>
      <c r="F64" s="58"/>
      <c r="G64" s="36">
        <f>Table13267810615[[#Totals],[Reimbursement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SUM(Table13267810615['# of hours])</f>
        <v>0</v>
      </c>
      <c r="D74" s="35">
        <f>SUM(Table13267810615['# of people reached])</f>
        <v>0</v>
      </c>
      <c r="E74" s="35">
        <f>SUM(Table13267810615['# of participants])</f>
        <v>0</v>
      </c>
      <c r="F74" s="35">
        <f>SUBTOTAL(109,Table13267810615['# of items handed out])</f>
        <v>0</v>
      </c>
      <c r="G74" s="37">
        <f>SUBTOTAL(109,Table13267810615[Reimbursement Amount Requested])</f>
        <v>0</v>
      </c>
      <c r="H74" s="52"/>
    </row>
    <row r="75" spans="1:8" x14ac:dyDescent="0.3">
      <c r="H75" s="52"/>
    </row>
    <row r="76" spans="1:8" ht="26.25" x14ac:dyDescent="0.45">
      <c r="A76" s="56" t="s">
        <v>187</v>
      </c>
      <c r="B76" s="57"/>
      <c r="C76" s="57"/>
      <c r="D76" s="57"/>
      <c r="E76" s="57"/>
      <c r="F76" s="58"/>
      <c r="G76" s="36">
        <f>Table1326781011616[[#Totals],[Reimbursement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SUM(Table1326781011616['# of hours])</f>
        <v>0</v>
      </c>
      <c r="D86" s="35">
        <f>SUM(Table1326781011616['# of people reached])</f>
        <v>0</v>
      </c>
      <c r="E86" s="35">
        <f>SUM(Table1326781011616['# of participants])</f>
        <v>0</v>
      </c>
      <c r="F86" s="35">
        <f>SUBTOTAL(109,Table1326781011616['# of items handed out])</f>
        <v>0</v>
      </c>
      <c r="G86" s="37">
        <f>SUBTOTAL(109,Table1326781011616[Reimbursement Amount Requested])</f>
        <v>0</v>
      </c>
      <c r="H86" s="52"/>
    </row>
    <row r="87" spans="1:8" x14ac:dyDescent="0.3">
      <c r="H87" s="52"/>
    </row>
    <row r="88" spans="1:8" ht="26.25" x14ac:dyDescent="0.45">
      <c r="A88" s="56" t="s">
        <v>189</v>
      </c>
      <c r="B88" s="57"/>
      <c r="C88" s="57"/>
      <c r="D88" s="57"/>
      <c r="E88" s="57"/>
      <c r="F88" s="58"/>
      <c r="G88" s="36">
        <f>Table132678101112617[[#Totals],[Reimbursement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SUM(Table132678101112617['# of hours])</f>
        <v>0</v>
      </c>
      <c r="D98" s="35">
        <f>SUM(Table132678101112617['# of people reached])</f>
        <v>0</v>
      </c>
      <c r="E98" s="35">
        <f>SUM(Table132678101112617['# of participants])</f>
        <v>0</v>
      </c>
      <c r="F98" s="35">
        <f>SUBTOTAL(109,Table132678101112617['# of items handed out])</f>
        <v>0</v>
      </c>
      <c r="G98" s="37">
        <f>SUBTOTAL(109,Table132678101112617[Reimbursement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A65EC13F-3343-42F0-A7DE-CF898822A6BB}">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E869E7A5-7486-47D5-ADF4-07DBA1281985}">
          <x14:formula1>
            <xm:f>Activities!$A$4:$A$27</xm:f>
          </x14:formula1>
          <xm:sqref>A7:A11</xm:sqref>
        </x14:dataValidation>
        <x14:dataValidation type="list" allowBlank="1" showInputMessage="1" showErrorMessage="1" xr:uid="{8FF3E486-1E1E-40A7-A8BE-D0ED4E78054E}">
          <x14:formula1>
            <xm:f>Activities!$A$49:$A$59</xm:f>
          </x14:formula1>
          <xm:sqref>A36:A40</xm:sqref>
        </x14:dataValidation>
        <x14:dataValidation type="list" allowBlank="1" showInputMessage="1" showErrorMessage="1" xr:uid="{8F5BDE8F-E2A2-456D-B5DB-A8049313950B}">
          <x14:formula1>
            <xm:f>Activities!$A$30:$A$46</xm:f>
          </x14:formula1>
          <xm:sqref>A19:A28</xm:sqref>
        </x14:dataValidation>
        <x14:dataValidation type="list" allowBlank="1" showInputMessage="1" showErrorMessage="1" xr:uid="{C8024093-C86C-4209-99E4-42473BC12383}">
          <x14:formula1>
            <xm:f>Activities!$A$87</xm:f>
          </x14:formula1>
          <xm:sqref>A60:A61</xm:sqref>
        </x14:dataValidation>
        <x14:dataValidation type="list" allowBlank="1" showInputMessage="1" showErrorMessage="1" xr:uid="{62A3D7DD-F872-4C9A-840A-4F2133237FA3}">
          <x14:formula1>
            <xm:f>Activities!$A$90:$A$100</xm:f>
          </x14:formula1>
          <xm:sqref>A69:A73</xm:sqref>
        </x14:dataValidation>
        <x14:dataValidation type="list" allowBlank="1" showInputMessage="1" showErrorMessage="1" xr:uid="{0E35B2E8-3DC8-4FFB-BE02-1395F2F2CC24}">
          <x14:formula1>
            <xm:f>Activities!$A$103:$A$109</xm:f>
          </x14:formula1>
          <xm:sqref>A81:A85</xm:sqref>
        </x14:dataValidation>
        <x14:dataValidation type="list" allowBlank="1" showInputMessage="1" showErrorMessage="1" xr:uid="{58891F83-804A-4EBC-8DFC-89BE27844238}">
          <x14:formula1>
            <xm:f>Activities!$A$112:$A$126</xm:f>
          </x14:formula1>
          <xm:sqref>A93:A97</xm:sqref>
        </x14:dataValidation>
        <x14:dataValidation type="list" allowBlank="1" showInputMessage="1" showErrorMessage="1" xr:uid="{01359FA3-F2B7-4450-A149-EFBA2526BC4D}">
          <x14:formula1>
            <xm:f>Activities!$A$62:$A$84</xm:f>
          </x14:formula1>
          <xm:sqref>A49:A52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EC62C-3AB7-435E-8B01-79F999395FEB}">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Table132618[[#Totals],[Reimbursement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SUM(Table132618['# of hours])</f>
        <v>0</v>
      </c>
      <c r="D12" s="35">
        <f>SUM(Table132618['# of people reached])</f>
        <v>0</v>
      </c>
      <c r="E12" s="35">
        <f>SUM(Table132618['# of participants])</f>
        <v>0</v>
      </c>
      <c r="F12" s="35">
        <f>SUBTOTAL(109,Table132618['# of items handed out])</f>
        <v>0</v>
      </c>
      <c r="G12" s="37">
        <f>SUBTOTAL(109,Table132618[Reimbursement Amount Requested])</f>
        <v>0</v>
      </c>
      <c r="H12" s="52"/>
    </row>
    <row r="13" spans="1:8" x14ac:dyDescent="0.3">
      <c r="H13" s="52"/>
    </row>
    <row r="14" spans="1:8" ht="26.25" x14ac:dyDescent="0.45">
      <c r="A14" s="56" t="s">
        <v>140</v>
      </c>
      <c r="B14" s="57"/>
      <c r="C14" s="57"/>
      <c r="D14" s="57"/>
      <c r="E14" s="57"/>
      <c r="F14" s="58"/>
      <c r="G14" s="36">
        <f>Table1326619[[#Totals],[Reimbursement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SUM(Table1326619['# of hours])</f>
        <v>0</v>
      </c>
      <c r="D29" s="35">
        <f>SUM(Table1326619['# of people reached])</f>
        <v>0</v>
      </c>
      <c r="E29" s="35">
        <f>SUM(Table1326619['# of participants])</f>
        <v>0</v>
      </c>
      <c r="F29" s="35">
        <f>SUBTOTAL(109,Table1326619['# of items handed out])</f>
        <v>0</v>
      </c>
      <c r="G29" s="37">
        <f>SUBTOTAL(109,Table1326619[Reimbursement Amount Requested])</f>
        <v>0</v>
      </c>
      <c r="H29" s="52"/>
    </row>
    <row r="30" spans="1:8" x14ac:dyDescent="0.3">
      <c r="H30" s="52"/>
    </row>
    <row r="31" spans="1:8" ht="26.25" x14ac:dyDescent="0.45">
      <c r="A31" s="56" t="s">
        <v>143</v>
      </c>
      <c r="B31" s="57"/>
      <c r="C31" s="57"/>
      <c r="D31" s="57"/>
      <c r="E31" s="57"/>
      <c r="F31" s="58"/>
      <c r="G31" s="36">
        <f>Table13267620[[#Totals],[Reimbursement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SUM(Table13267620['# of hours])</f>
        <v>0</v>
      </c>
      <c r="D41" s="35">
        <f>SUM(Table13267620['# of people reached])</f>
        <v>0</v>
      </c>
      <c r="E41" s="35">
        <f>SUM(Table13267620['# of participants])</f>
        <v>0</v>
      </c>
      <c r="F41" s="35">
        <f>SUBTOTAL(109,Table13267620['# of items handed out])</f>
        <v>0</v>
      </c>
      <c r="G41" s="37">
        <f>SUBTOTAL(109,Table13267620[Reimbursement Amount Requested])</f>
        <v>0</v>
      </c>
      <c r="H41" s="52"/>
    </row>
    <row r="42" spans="1:8" x14ac:dyDescent="0.3">
      <c r="H42" s="52"/>
    </row>
    <row r="43" spans="1:8" ht="26.25" x14ac:dyDescent="0.45">
      <c r="A43" s="56" t="s">
        <v>146</v>
      </c>
      <c r="B43" s="57"/>
      <c r="C43" s="57"/>
      <c r="D43" s="57"/>
      <c r="E43" s="57"/>
      <c r="F43" s="58"/>
      <c r="G43" s="36">
        <f>Table132678621[[#Totals],[Reimbursement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SUM(Table132678621['# of hours])</f>
        <v>0</v>
      </c>
      <c r="D53" s="35">
        <f>SUM(Table132678621['# of people reached])</f>
        <v>0</v>
      </c>
      <c r="E53" s="35">
        <f>SUM(Table132678621['# of participants])</f>
        <v>0</v>
      </c>
      <c r="F53" s="35">
        <f>SUBTOTAL(109,Table132678621['# of items handed out])</f>
        <v>0</v>
      </c>
      <c r="G53" s="37">
        <f>SUBTOTAL(109,Table132678621[Reimbursement Amount Requested])</f>
        <v>0</v>
      </c>
      <c r="H53" s="52"/>
    </row>
    <row r="54" spans="1:8" x14ac:dyDescent="0.3">
      <c r="H54" s="52"/>
    </row>
    <row r="55" spans="1:8" ht="26.25" x14ac:dyDescent="0.45">
      <c r="A55" s="56" t="s">
        <v>181</v>
      </c>
      <c r="B55" s="57"/>
      <c r="C55" s="57"/>
      <c r="D55" s="57"/>
      <c r="E55" s="57"/>
      <c r="F55" s="58"/>
      <c r="G55" s="36">
        <f>Table1326789622[[#Totals],[Reimbursement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SUM(Table1326789622['# of hours])</f>
        <v>0</v>
      </c>
      <c r="D62" s="35">
        <f>SUM(Table1326789622['# of people reached])</f>
        <v>0</v>
      </c>
      <c r="E62" s="35">
        <f>SUM(Table1326789622['# of participants])</f>
        <v>0</v>
      </c>
      <c r="F62" s="35">
        <f>SUBTOTAL(109,Table1326789622['# of items handed out])</f>
        <v>0</v>
      </c>
      <c r="G62" s="31">
        <f>SUBTOTAL(109,Table1326789622[Reimbursement Amount Requested])</f>
        <v>0</v>
      </c>
      <c r="H62" s="52"/>
    </row>
    <row r="63" spans="1:8" x14ac:dyDescent="0.3">
      <c r="H63" s="52"/>
    </row>
    <row r="64" spans="1:8" ht="26.25" x14ac:dyDescent="0.45">
      <c r="A64" s="56" t="s">
        <v>186</v>
      </c>
      <c r="B64" s="57"/>
      <c r="C64" s="57"/>
      <c r="D64" s="57"/>
      <c r="E64" s="57"/>
      <c r="F64" s="58"/>
      <c r="G64" s="36">
        <f>Table13267810623[[#Totals],[Reimbursement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SUM(Table13267810623['# of hours])</f>
        <v>0</v>
      </c>
      <c r="D74" s="35">
        <f>SUM(Table13267810623['# of people reached])</f>
        <v>0</v>
      </c>
      <c r="E74" s="35">
        <f>SUM(Table13267810623['# of participants])</f>
        <v>0</v>
      </c>
      <c r="F74" s="35">
        <f>SUBTOTAL(109,Table13267810623['# of items handed out])</f>
        <v>0</v>
      </c>
      <c r="G74" s="37">
        <f>SUBTOTAL(109,Table13267810623[Reimbursement Amount Requested])</f>
        <v>0</v>
      </c>
      <c r="H74" s="52"/>
    </row>
    <row r="75" spans="1:8" x14ac:dyDescent="0.3">
      <c r="H75" s="52"/>
    </row>
    <row r="76" spans="1:8" ht="26.25" x14ac:dyDescent="0.45">
      <c r="A76" s="56" t="s">
        <v>187</v>
      </c>
      <c r="B76" s="57"/>
      <c r="C76" s="57"/>
      <c r="D76" s="57"/>
      <c r="E76" s="57"/>
      <c r="F76" s="58"/>
      <c r="G76" s="36">
        <f>Table1326781011624[[#Totals],[Reimbursement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SUM(Table1326781011624['# of hours])</f>
        <v>0</v>
      </c>
      <c r="D86" s="35">
        <f>SUM(Table1326781011624['# of people reached])</f>
        <v>0</v>
      </c>
      <c r="E86" s="35">
        <f>SUM(Table1326781011624['# of participants])</f>
        <v>0</v>
      </c>
      <c r="F86" s="35">
        <f>SUBTOTAL(109,Table1326781011624['# of items handed out])</f>
        <v>0</v>
      </c>
      <c r="G86" s="37">
        <f>SUBTOTAL(109,Table1326781011624[Reimbursement Amount Requested])</f>
        <v>0</v>
      </c>
      <c r="H86" s="52"/>
    </row>
    <row r="87" spans="1:8" x14ac:dyDescent="0.3">
      <c r="H87" s="52"/>
    </row>
    <row r="88" spans="1:8" ht="26.25" x14ac:dyDescent="0.45">
      <c r="A88" s="56" t="s">
        <v>189</v>
      </c>
      <c r="B88" s="57"/>
      <c r="C88" s="57"/>
      <c r="D88" s="57"/>
      <c r="E88" s="57"/>
      <c r="F88" s="58"/>
      <c r="G88" s="36">
        <f>Table132678101112625[[#Totals],[Reimbursement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SUM(Table132678101112625['# of hours])</f>
        <v>0</v>
      </c>
      <c r="D98" s="35">
        <f>SUM(Table132678101112625['# of people reached])</f>
        <v>0</v>
      </c>
      <c r="E98" s="35">
        <f>SUM(Table132678101112625['# of participants])</f>
        <v>0</v>
      </c>
      <c r="F98" s="35">
        <f>SUBTOTAL(109,Table132678101112625['# of items handed out])</f>
        <v>0</v>
      </c>
      <c r="G98" s="37">
        <f>SUBTOTAL(109,Table132678101112625[Reimbursement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06B917BE-C0FB-4B99-8F7E-ED2758677782}">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30A2BD24-8CFB-481C-BCB3-B6D7040B9D3F}">
          <x14:formula1>
            <xm:f>Activities!$A$62:$A$84</xm:f>
          </x14:formula1>
          <xm:sqref>A49:A52</xm:sqref>
        </x14:dataValidation>
        <x14:dataValidation type="list" allowBlank="1" showInputMessage="1" showErrorMessage="1" xr:uid="{0320F7DA-BD33-4415-A62D-2126052B1518}">
          <x14:formula1>
            <xm:f>Activities!$A$112:$A$126</xm:f>
          </x14:formula1>
          <xm:sqref>A93:A97</xm:sqref>
        </x14:dataValidation>
        <x14:dataValidation type="list" allowBlank="1" showInputMessage="1" showErrorMessage="1" xr:uid="{2B409222-4743-45F8-B190-980B2B8B5517}">
          <x14:formula1>
            <xm:f>Activities!$A$103:$A$109</xm:f>
          </x14:formula1>
          <xm:sqref>A81:A85</xm:sqref>
        </x14:dataValidation>
        <x14:dataValidation type="list" allowBlank="1" showInputMessage="1" showErrorMessage="1" xr:uid="{01F58329-C957-48F6-8033-19E1B9E2A57D}">
          <x14:formula1>
            <xm:f>Activities!$A$90:$A$100</xm:f>
          </x14:formula1>
          <xm:sqref>A69:A73</xm:sqref>
        </x14:dataValidation>
        <x14:dataValidation type="list" allowBlank="1" showInputMessage="1" showErrorMessage="1" xr:uid="{B1A1FB64-C95E-487B-A559-BD3159D73F86}">
          <x14:formula1>
            <xm:f>Activities!$A$87</xm:f>
          </x14:formula1>
          <xm:sqref>A60:A61</xm:sqref>
        </x14:dataValidation>
        <x14:dataValidation type="list" allowBlank="1" showInputMessage="1" showErrorMessage="1" xr:uid="{F96F3D46-D0C4-41C0-8C92-A5332EC251B5}">
          <x14:formula1>
            <xm:f>Activities!$A$30:$A$46</xm:f>
          </x14:formula1>
          <xm:sqref>A19:A28</xm:sqref>
        </x14:dataValidation>
        <x14:dataValidation type="list" allowBlank="1" showInputMessage="1" showErrorMessage="1" xr:uid="{8280EB53-9288-4938-9BB8-B3A84D85E859}">
          <x14:formula1>
            <xm:f>Activities!$A$49:$A$59</xm:f>
          </x14:formula1>
          <xm:sqref>A36:A40</xm:sqref>
        </x14:dataValidation>
        <x14:dataValidation type="list" allowBlank="1" showInputMessage="1" showErrorMessage="1" xr:uid="{82772091-7846-43E3-BAA1-9EDAF2303CB2}">
          <x14:formula1>
            <xm:f>Activities!$A$4:$A$27</xm:f>
          </x14:formula1>
          <xm:sqref>A7:A11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94F6F-4554-4883-8FFB-26034EE8BA52}">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Table132626[[#Totals],[Reimbursement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SUM(Table132626['# of hours])</f>
        <v>0</v>
      </c>
      <c r="D12" s="35">
        <f>SUM(Table132626['# of people reached])</f>
        <v>0</v>
      </c>
      <c r="E12" s="35">
        <f>SUM(Table132626['# of participants])</f>
        <v>0</v>
      </c>
      <c r="F12" s="35">
        <f>SUBTOTAL(109,Table132626['# of items handed out])</f>
        <v>0</v>
      </c>
      <c r="G12" s="37">
        <f>SUBTOTAL(109,Table132626[Reimbursement Amount Requested])</f>
        <v>0</v>
      </c>
      <c r="H12" s="52"/>
    </row>
    <row r="13" spans="1:8" x14ac:dyDescent="0.3">
      <c r="H13" s="52"/>
    </row>
    <row r="14" spans="1:8" ht="26.25" x14ac:dyDescent="0.45">
      <c r="A14" s="56" t="s">
        <v>140</v>
      </c>
      <c r="B14" s="57"/>
      <c r="C14" s="57"/>
      <c r="D14" s="57"/>
      <c r="E14" s="57"/>
      <c r="F14" s="58"/>
      <c r="G14" s="36">
        <f>Table1326627[[#Totals],[Reimbursement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SUM(Table1326627['# of hours])</f>
        <v>0</v>
      </c>
      <c r="D29" s="35">
        <f>SUM(Table1326627['# of people reached])</f>
        <v>0</v>
      </c>
      <c r="E29" s="35">
        <f>SUM(Table1326627['# of participants])</f>
        <v>0</v>
      </c>
      <c r="F29" s="35">
        <f>SUBTOTAL(109,Table1326627['# of items handed out])</f>
        <v>0</v>
      </c>
      <c r="G29" s="37">
        <f>SUBTOTAL(109,Table1326627[Reimbursement Amount Requested])</f>
        <v>0</v>
      </c>
      <c r="H29" s="52"/>
    </row>
    <row r="30" spans="1:8" x14ac:dyDescent="0.3">
      <c r="H30" s="52"/>
    </row>
    <row r="31" spans="1:8" ht="26.25" x14ac:dyDescent="0.45">
      <c r="A31" s="56" t="s">
        <v>143</v>
      </c>
      <c r="B31" s="57"/>
      <c r="C31" s="57"/>
      <c r="D31" s="57"/>
      <c r="E31" s="57"/>
      <c r="F31" s="58"/>
      <c r="G31" s="36">
        <f>Table13267628[[#Totals],[Reimbursement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SUM(Table13267628['# of hours])</f>
        <v>0</v>
      </c>
      <c r="D41" s="35">
        <f>SUM(Table13267628['# of people reached])</f>
        <v>0</v>
      </c>
      <c r="E41" s="35">
        <f>SUM(Table13267628['# of participants])</f>
        <v>0</v>
      </c>
      <c r="F41" s="35">
        <f>SUBTOTAL(109,Table13267628['# of items handed out])</f>
        <v>0</v>
      </c>
      <c r="G41" s="37">
        <f>SUBTOTAL(109,Table13267628[Reimbursement Amount Requested])</f>
        <v>0</v>
      </c>
      <c r="H41" s="52"/>
    </row>
    <row r="42" spans="1:8" x14ac:dyDescent="0.3">
      <c r="H42" s="52"/>
    </row>
    <row r="43" spans="1:8" ht="26.25" x14ac:dyDescent="0.45">
      <c r="A43" s="56" t="s">
        <v>146</v>
      </c>
      <c r="B43" s="57"/>
      <c r="C43" s="57"/>
      <c r="D43" s="57"/>
      <c r="E43" s="57"/>
      <c r="F43" s="58"/>
      <c r="G43" s="36">
        <f>Table132678629[[#Totals],[Reimbursement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SUM(Table132678629['# of hours])</f>
        <v>0</v>
      </c>
      <c r="D53" s="35">
        <f>SUM(Table132678629['# of people reached])</f>
        <v>0</v>
      </c>
      <c r="E53" s="35">
        <f>SUM(Table132678629['# of participants])</f>
        <v>0</v>
      </c>
      <c r="F53" s="35">
        <f>SUBTOTAL(109,Table132678629['# of items handed out])</f>
        <v>0</v>
      </c>
      <c r="G53" s="37">
        <f>SUBTOTAL(109,Table132678629[Reimbursement Amount Requested])</f>
        <v>0</v>
      </c>
      <c r="H53" s="52"/>
    </row>
    <row r="54" spans="1:8" x14ac:dyDescent="0.3">
      <c r="H54" s="52"/>
    </row>
    <row r="55" spans="1:8" ht="26.25" x14ac:dyDescent="0.45">
      <c r="A55" s="56" t="s">
        <v>181</v>
      </c>
      <c r="B55" s="57"/>
      <c r="C55" s="57"/>
      <c r="D55" s="57"/>
      <c r="E55" s="57"/>
      <c r="F55" s="58"/>
      <c r="G55" s="36">
        <f>Table1326789630[[#Totals],[Reimbursement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SUM(Table1326789630['# of hours])</f>
        <v>0</v>
      </c>
      <c r="D62" s="35">
        <f>SUM(Table1326789630['# of people reached])</f>
        <v>0</v>
      </c>
      <c r="E62" s="35">
        <f>SUM(Table1326789630['# of participants])</f>
        <v>0</v>
      </c>
      <c r="F62" s="35">
        <f>SUBTOTAL(109,Table1326789630['# of items handed out])</f>
        <v>0</v>
      </c>
      <c r="G62" s="31">
        <f>SUBTOTAL(109,Table1326789630[Reimbursement Amount Requested])</f>
        <v>0</v>
      </c>
      <c r="H62" s="52"/>
    </row>
    <row r="63" spans="1:8" x14ac:dyDescent="0.3">
      <c r="H63" s="52"/>
    </row>
    <row r="64" spans="1:8" ht="26.25" x14ac:dyDescent="0.45">
      <c r="A64" s="56" t="s">
        <v>186</v>
      </c>
      <c r="B64" s="57"/>
      <c r="C64" s="57"/>
      <c r="D64" s="57"/>
      <c r="E64" s="57"/>
      <c r="F64" s="58"/>
      <c r="G64" s="36">
        <f>Table13267810631[[#Totals],[Reimbursement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SUM(Table13267810631['# of hours])</f>
        <v>0</v>
      </c>
      <c r="D74" s="35">
        <f>SUM(Table13267810631['# of people reached])</f>
        <v>0</v>
      </c>
      <c r="E74" s="35">
        <f>SUM(Table13267810631['# of participants])</f>
        <v>0</v>
      </c>
      <c r="F74" s="35">
        <f>SUBTOTAL(109,Table13267810631['# of items handed out])</f>
        <v>0</v>
      </c>
      <c r="G74" s="37">
        <f>SUBTOTAL(109,Table13267810631[Reimbursement Amount Requested])</f>
        <v>0</v>
      </c>
      <c r="H74" s="52"/>
    </row>
    <row r="75" spans="1:8" x14ac:dyDescent="0.3">
      <c r="H75" s="52"/>
    </row>
    <row r="76" spans="1:8" ht="26.25" x14ac:dyDescent="0.45">
      <c r="A76" s="56" t="s">
        <v>187</v>
      </c>
      <c r="B76" s="57"/>
      <c r="C76" s="57"/>
      <c r="D76" s="57"/>
      <c r="E76" s="57"/>
      <c r="F76" s="58"/>
      <c r="G76" s="36">
        <f>Table1326781011632[[#Totals],[Reimbursement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SUM(Table1326781011632['# of hours])</f>
        <v>0</v>
      </c>
      <c r="D86" s="35">
        <f>SUM(Table1326781011632['# of people reached])</f>
        <v>0</v>
      </c>
      <c r="E86" s="35">
        <f>SUM(Table1326781011632['# of participants])</f>
        <v>0</v>
      </c>
      <c r="F86" s="35">
        <f>SUBTOTAL(109,Table1326781011632['# of items handed out])</f>
        <v>0</v>
      </c>
      <c r="G86" s="37">
        <f>SUBTOTAL(109,Table1326781011632[Reimbursement Amount Requested])</f>
        <v>0</v>
      </c>
      <c r="H86" s="52"/>
    </row>
    <row r="87" spans="1:8" x14ac:dyDescent="0.3">
      <c r="H87" s="52"/>
    </row>
    <row r="88" spans="1:8" ht="26.25" x14ac:dyDescent="0.45">
      <c r="A88" s="56" t="s">
        <v>189</v>
      </c>
      <c r="B88" s="57"/>
      <c r="C88" s="57"/>
      <c r="D88" s="57"/>
      <c r="E88" s="57"/>
      <c r="F88" s="58"/>
      <c r="G88" s="36">
        <f>Table132678101112633[[#Totals],[Reimbursement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SUM(Table132678101112633['# of hours])</f>
        <v>0</v>
      </c>
      <c r="D98" s="35">
        <f>SUM(Table132678101112633['# of people reached])</f>
        <v>0</v>
      </c>
      <c r="E98" s="35">
        <f>SUM(Table132678101112633['# of participants])</f>
        <v>0</v>
      </c>
      <c r="F98" s="35">
        <f>SUBTOTAL(109,Table132678101112633['# of items handed out])</f>
        <v>0</v>
      </c>
      <c r="G98" s="37">
        <f>SUBTOTAL(109,Table132678101112633[Reimbursement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5E7D1D72-6918-4E9F-B57F-ACA40E9211DB}">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30B467D0-20A4-496E-859D-251D61F4222C}">
          <x14:formula1>
            <xm:f>Activities!$A$4:$A$27</xm:f>
          </x14:formula1>
          <xm:sqref>A7:A11</xm:sqref>
        </x14:dataValidation>
        <x14:dataValidation type="list" allowBlank="1" showInputMessage="1" showErrorMessage="1" xr:uid="{DB6AB153-5D57-4FE5-814F-4FD276CD3ABF}">
          <x14:formula1>
            <xm:f>Activities!$A$49:$A$59</xm:f>
          </x14:formula1>
          <xm:sqref>A36:A40</xm:sqref>
        </x14:dataValidation>
        <x14:dataValidation type="list" allowBlank="1" showInputMessage="1" showErrorMessage="1" xr:uid="{46D57C8D-A20A-4D62-8400-DBC50AC3F7A2}">
          <x14:formula1>
            <xm:f>Activities!$A$30:$A$46</xm:f>
          </x14:formula1>
          <xm:sqref>A19:A28</xm:sqref>
        </x14:dataValidation>
        <x14:dataValidation type="list" allowBlank="1" showInputMessage="1" showErrorMessage="1" xr:uid="{107F0F79-1045-46EF-B5B9-A27BDA5196AA}">
          <x14:formula1>
            <xm:f>Activities!$A$87</xm:f>
          </x14:formula1>
          <xm:sqref>A60:A61</xm:sqref>
        </x14:dataValidation>
        <x14:dataValidation type="list" allowBlank="1" showInputMessage="1" showErrorMessage="1" xr:uid="{19AEADD0-8CD4-462E-8E3D-CB621CE6D248}">
          <x14:formula1>
            <xm:f>Activities!$A$90:$A$100</xm:f>
          </x14:formula1>
          <xm:sqref>A69:A73</xm:sqref>
        </x14:dataValidation>
        <x14:dataValidation type="list" allowBlank="1" showInputMessage="1" showErrorMessage="1" xr:uid="{E1FFFC89-9C30-49D5-803F-E9DC9BD53ADD}">
          <x14:formula1>
            <xm:f>Activities!$A$103:$A$109</xm:f>
          </x14:formula1>
          <xm:sqref>A81:A85</xm:sqref>
        </x14:dataValidation>
        <x14:dataValidation type="list" allowBlank="1" showInputMessage="1" showErrorMessage="1" xr:uid="{0AE15AC9-5660-4178-B7F8-E454A3F17AB1}">
          <x14:formula1>
            <xm:f>Activities!$A$112:$A$126</xm:f>
          </x14:formula1>
          <xm:sqref>A93:A97</xm:sqref>
        </x14:dataValidation>
        <x14:dataValidation type="list" allowBlank="1" showInputMessage="1" showErrorMessage="1" xr:uid="{D90AD923-EFCD-4057-871C-905C493C666E}">
          <x14:formula1>
            <xm:f>Activities!$A$62:$A$84</xm:f>
          </x14:formula1>
          <xm:sqref>A49:A52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C630-DCDD-447C-A3B8-80FD77ED4567}">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Table132634[[#Totals],[Reimbursement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SUM(Table132634['# of hours])</f>
        <v>0</v>
      </c>
      <c r="D12" s="35">
        <f>SUM(Table132634['# of people reached])</f>
        <v>0</v>
      </c>
      <c r="E12" s="35">
        <f>SUM(Table132634['# of participants])</f>
        <v>0</v>
      </c>
      <c r="F12" s="35">
        <f>SUBTOTAL(109,Table132634['# of items handed out])</f>
        <v>0</v>
      </c>
      <c r="G12" s="37">
        <f>SUBTOTAL(109,Table132634[Reimbursement Amount Requested])</f>
        <v>0</v>
      </c>
      <c r="H12" s="52"/>
    </row>
    <row r="13" spans="1:8" x14ac:dyDescent="0.3">
      <c r="H13" s="52"/>
    </row>
    <row r="14" spans="1:8" ht="26.25" x14ac:dyDescent="0.45">
      <c r="A14" s="56" t="s">
        <v>140</v>
      </c>
      <c r="B14" s="57"/>
      <c r="C14" s="57"/>
      <c r="D14" s="57"/>
      <c r="E14" s="57"/>
      <c r="F14" s="58"/>
      <c r="G14" s="36">
        <f>Table1326635[[#Totals],[Reimbursement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SUM(Table1326635['# of hours])</f>
        <v>0</v>
      </c>
      <c r="D29" s="35">
        <f>SUM(Table1326635['# of people reached])</f>
        <v>0</v>
      </c>
      <c r="E29" s="35">
        <f>SUM(Table1326635['# of participants])</f>
        <v>0</v>
      </c>
      <c r="F29" s="35">
        <f>SUBTOTAL(109,Table1326635['# of items handed out])</f>
        <v>0</v>
      </c>
      <c r="G29" s="37">
        <f>SUBTOTAL(109,Table1326635[Reimbursement Amount Requested])</f>
        <v>0</v>
      </c>
      <c r="H29" s="52"/>
    </row>
    <row r="30" spans="1:8" x14ac:dyDescent="0.3">
      <c r="H30" s="52"/>
    </row>
    <row r="31" spans="1:8" ht="26.25" x14ac:dyDescent="0.45">
      <c r="A31" s="56" t="s">
        <v>143</v>
      </c>
      <c r="B31" s="57"/>
      <c r="C31" s="57"/>
      <c r="D31" s="57"/>
      <c r="E31" s="57"/>
      <c r="F31" s="58"/>
      <c r="G31" s="36">
        <f>Table13267636[[#Totals],[Reimbursement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SUM(Table13267636['# of hours])</f>
        <v>0</v>
      </c>
      <c r="D41" s="35">
        <f>SUM(Table13267636['# of people reached])</f>
        <v>0</v>
      </c>
      <c r="E41" s="35">
        <f>SUM(Table13267636['# of participants])</f>
        <v>0</v>
      </c>
      <c r="F41" s="35">
        <f>SUBTOTAL(109,Table13267636['# of items handed out])</f>
        <v>0</v>
      </c>
      <c r="G41" s="37">
        <f>SUBTOTAL(109,Table13267636[Reimbursement Amount Requested])</f>
        <v>0</v>
      </c>
      <c r="H41" s="52"/>
    </row>
    <row r="42" spans="1:8" x14ac:dyDescent="0.3">
      <c r="H42" s="52"/>
    </row>
    <row r="43" spans="1:8" ht="26.25" x14ac:dyDescent="0.45">
      <c r="A43" s="56" t="s">
        <v>146</v>
      </c>
      <c r="B43" s="57"/>
      <c r="C43" s="57"/>
      <c r="D43" s="57"/>
      <c r="E43" s="57"/>
      <c r="F43" s="58"/>
      <c r="G43" s="36">
        <f>Table132678637[[#Totals],[Reimbursement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SUM(Table132678637['# of hours])</f>
        <v>0</v>
      </c>
      <c r="D53" s="35">
        <f>SUM(Table132678637['# of people reached])</f>
        <v>0</v>
      </c>
      <c r="E53" s="35">
        <f>SUM(Table132678637['# of participants])</f>
        <v>0</v>
      </c>
      <c r="F53" s="35">
        <f>SUBTOTAL(109,Table132678637['# of items handed out])</f>
        <v>0</v>
      </c>
      <c r="G53" s="37">
        <f>SUBTOTAL(109,Table132678637[Reimbursement Amount Requested])</f>
        <v>0</v>
      </c>
      <c r="H53" s="52"/>
    </row>
    <row r="54" spans="1:8" x14ac:dyDescent="0.3">
      <c r="H54" s="52"/>
    </row>
    <row r="55" spans="1:8" ht="26.25" x14ac:dyDescent="0.45">
      <c r="A55" s="56" t="s">
        <v>181</v>
      </c>
      <c r="B55" s="57"/>
      <c r="C55" s="57"/>
      <c r="D55" s="57"/>
      <c r="E55" s="57"/>
      <c r="F55" s="58"/>
      <c r="G55" s="36">
        <f>Table1326789638[[#Totals],[Reimbursement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SUM(Table1326789638['# of hours])</f>
        <v>0</v>
      </c>
      <c r="D62" s="35">
        <f>SUM(Table1326789638['# of people reached])</f>
        <v>0</v>
      </c>
      <c r="E62" s="35">
        <f>SUM(Table1326789638['# of participants])</f>
        <v>0</v>
      </c>
      <c r="F62" s="35">
        <f>SUBTOTAL(109,Table1326789638['# of items handed out])</f>
        <v>0</v>
      </c>
      <c r="G62" s="31">
        <f>SUBTOTAL(109,Table1326789638[Reimbursement Amount Requested])</f>
        <v>0</v>
      </c>
      <c r="H62" s="52"/>
    </row>
    <row r="63" spans="1:8" x14ac:dyDescent="0.3">
      <c r="H63" s="52"/>
    </row>
    <row r="64" spans="1:8" ht="26.25" x14ac:dyDescent="0.45">
      <c r="A64" s="56" t="s">
        <v>186</v>
      </c>
      <c r="B64" s="57"/>
      <c r="C64" s="57"/>
      <c r="D64" s="57"/>
      <c r="E64" s="57"/>
      <c r="F64" s="58"/>
      <c r="G64" s="36">
        <f>Table13267810639[[#Totals],[Reimbursement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SUM(Table13267810639['# of hours])</f>
        <v>0</v>
      </c>
      <c r="D74" s="35">
        <f>SUM(Table13267810639['# of people reached])</f>
        <v>0</v>
      </c>
      <c r="E74" s="35">
        <f>SUM(Table13267810639['# of participants])</f>
        <v>0</v>
      </c>
      <c r="F74" s="35">
        <f>SUBTOTAL(109,Table13267810639['# of items handed out])</f>
        <v>0</v>
      </c>
      <c r="G74" s="37">
        <f>SUBTOTAL(109,Table13267810639[Reimbursement Amount Requested])</f>
        <v>0</v>
      </c>
      <c r="H74" s="52"/>
    </row>
    <row r="75" spans="1:8" x14ac:dyDescent="0.3">
      <c r="H75" s="52"/>
    </row>
    <row r="76" spans="1:8" ht="26.25" x14ac:dyDescent="0.45">
      <c r="A76" s="56" t="s">
        <v>187</v>
      </c>
      <c r="B76" s="57"/>
      <c r="C76" s="57"/>
      <c r="D76" s="57"/>
      <c r="E76" s="57"/>
      <c r="F76" s="58"/>
      <c r="G76" s="36">
        <f>Table1326781011640[[#Totals],[Reimbursement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SUM(Table1326781011640['# of hours])</f>
        <v>0</v>
      </c>
      <c r="D86" s="35">
        <f>SUM(Table1326781011640['# of people reached])</f>
        <v>0</v>
      </c>
      <c r="E86" s="35">
        <f>SUM(Table1326781011640['# of participants])</f>
        <v>0</v>
      </c>
      <c r="F86" s="35">
        <f>SUBTOTAL(109,Table1326781011640['# of items handed out])</f>
        <v>0</v>
      </c>
      <c r="G86" s="37">
        <f>SUBTOTAL(109,Table1326781011640[Reimbursement Amount Requested])</f>
        <v>0</v>
      </c>
      <c r="H86" s="52"/>
    </row>
    <row r="87" spans="1:8" x14ac:dyDescent="0.3">
      <c r="H87" s="52"/>
    </row>
    <row r="88" spans="1:8" ht="26.25" x14ac:dyDescent="0.45">
      <c r="A88" s="56" t="s">
        <v>189</v>
      </c>
      <c r="B88" s="57"/>
      <c r="C88" s="57"/>
      <c r="D88" s="57"/>
      <c r="E88" s="57"/>
      <c r="F88" s="58"/>
      <c r="G88" s="36">
        <f>Table132678101112641[[#Totals],[Reimbursement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SUM(Table132678101112641['# of hours])</f>
        <v>0</v>
      </c>
      <c r="D98" s="35">
        <f>SUM(Table132678101112641['# of people reached])</f>
        <v>0</v>
      </c>
      <c r="E98" s="35">
        <f>SUM(Table132678101112641['# of participants])</f>
        <v>0</v>
      </c>
      <c r="F98" s="35">
        <f>SUBTOTAL(109,Table132678101112641['# of items handed out])</f>
        <v>0</v>
      </c>
      <c r="G98" s="37">
        <f>SUBTOTAL(109,Table132678101112641[Reimbursement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A8165446-B97D-4AA9-A846-B19016690132}">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FFB25886-4BB0-4351-BAF8-5C4E5ECB2153}">
          <x14:formula1>
            <xm:f>Activities!$A$62:$A$84</xm:f>
          </x14:formula1>
          <xm:sqref>A49:A52</xm:sqref>
        </x14:dataValidation>
        <x14:dataValidation type="list" allowBlank="1" showInputMessage="1" showErrorMessage="1" xr:uid="{FBA879BC-209B-4BBE-942D-6B0C0A114007}">
          <x14:formula1>
            <xm:f>Activities!$A$112:$A$126</xm:f>
          </x14:formula1>
          <xm:sqref>A93:A97</xm:sqref>
        </x14:dataValidation>
        <x14:dataValidation type="list" allowBlank="1" showInputMessage="1" showErrorMessage="1" xr:uid="{D090BEBF-8BC1-460B-9818-52C3D13EBD3F}">
          <x14:formula1>
            <xm:f>Activities!$A$103:$A$109</xm:f>
          </x14:formula1>
          <xm:sqref>A81:A85</xm:sqref>
        </x14:dataValidation>
        <x14:dataValidation type="list" allowBlank="1" showInputMessage="1" showErrorMessage="1" xr:uid="{6AFADB5D-8D83-4CCF-8182-CF31ED6ED7A3}">
          <x14:formula1>
            <xm:f>Activities!$A$90:$A$100</xm:f>
          </x14:formula1>
          <xm:sqref>A69:A73</xm:sqref>
        </x14:dataValidation>
        <x14:dataValidation type="list" allowBlank="1" showInputMessage="1" showErrorMessage="1" xr:uid="{91CE3087-1D5E-48A0-B97C-54E74A9C16ED}">
          <x14:formula1>
            <xm:f>Activities!$A$87</xm:f>
          </x14:formula1>
          <xm:sqref>A60:A61</xm:sqref>
        </x14:dataValidation>
        <x14:dataValidation type="list" allowBlank="1" showInputMessage="1" showErrorMessage="1" xr:uid="{30128194-53A5-4599-8275-B7BCAE0487FE}">
          <x14:formula1>
            <xm:f>Activities!$A$30:$A$46</xm:f>
          </x14:formula1>
          <xm:sqref>A19:A28</xm:sqref>
        </x14:dataValidation>
        <x14:dataValidation type="list" allowBlank="1" showInputMessage="1" showErrorMessage="1" xr:uid="{B99311C2-C671-4952-B063-206E7691E6EF}">
          <x14:formula1>
            <xm:f>Activities!$A$49:$A$59</xm:f>
          </x14:formula1>
          <xm:sqref>A36:A40</xm:sqref>
        </x14:dataValidation>
        <x14:dataValidation type="list" allowBlank="1" showInputMessage="1" showErrorMessage="1" xr:uid="{761B9FF1-D61F-4804-8C3D-36307BBE012B}">
          <x14:formula1>
            <xm:f>Activities!$A$4:$A$27</xm:f>
          </x14:formula1>
          <xm:sqref>A7:A11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48D5-CE47-4C5F-8038-62FE763044CE}">
  <sheetPr>
    <tabColor rgb="FFD34727"/>
  </sheetPr>
  <dimension ref="A1:H22"/>
  <sheetViews>
    <sheetView view="pageLayout" zoomScaleNormal="100" workbookViewId="0">
      <selection activeCell="H6" sqref="H6"/>
    </sheetView>
  </sheetViews>
  <sheetFormatPr defaultRowHeight="16.5" x14ac:dyDescent="0.3"/>
  <cols>
    <col min="1" max="1" width="15.25" customWidth="1"/>
    <col min="2" max="2" width="9.125" customWidth="1"/>
    <col min="3" max="3" width="11.75" customWidth="1"/>
    <col min="4" max="4" width="9.125" customWidth="1"/>
    <col min="5" max="5" width="12.5" customWidth="1"/>
    <col min="6" max="6" width="10.625" customWidth="1"/>
    <col min="7" max="7" width="13" customWidth="1"/>
    <col min="8" max="8" width="9.125" customWidth="1"/>
  </cols>
  <sheetData>
    <row r="1" spans="1:8" ht="26.25" x14ac:dyDescent="0.45">
      <c r="A1" s="73" t="s">
        <v>100</v>
      </c>
      <c r="B1" s="73"/>
      <c r="C1" s="73"/>
      <c r="D1" s="73"/>
      <c r="E1" s="73"/>
      <c r="F1" s="73"/>
      <c r="G1" s="73"/>
      <c r="H1" s="73"/>
    </row>
    <row r="2" spans="1:8" ht="17.25" thickBot="1" x14ac:dyDescent="0.35">
      <c r="A2" s="5"/>
      <c r="B2" s="6"/>
      <c r="C2" s="1"/>
      <c r="D2" s="1"/>
      <c r="E2" s="1"/>
      <c r="F2" s="1"/>
      <c r="G2" s="1"/>
      <c r="H2" s="1"/>
    </row>
    <row r="3" spans="1:8" ht="17.25" thickBot="1" x14ac:dyDescent="0.35">
      <c r="A3" s="71" t="s">
        <v>84</v>
      </c>
      <c r="B3" s="72"/>
      <c r="C3" s="2">
        <v>187500</v>
      </c>
      <c r="D3" s="3"/>
      <c r="E3" s="71" t="s">
        <v>193</v>
      </c>
      <c r="F3" s="72"/>
      <c r="G3" s="4" cm="1">
        <f t="array" ref="G3:H3">C3-'Year One Summary'!B20:C20-'Year Two Summary'!B20:C20</f>
        <v>187500</v>
      </c>
      <c r="H3" s="41">
        <v>187500</v>
      </c>
    </row>
    <row r="4" spans="1:8" ht="17.25" thickBot="1" x14ac:dyDescent="0.35">
      <c r="A4" s="71" t="s">
        <v>101</v>
      </c>
      <c r="B4" s="72"/>
      <c r="C4" s="2">
        <v>62500</v>
      </c>
      <c r="D4" s="3"/>
      <c r="E4" s="71" t="s">
        <v>195</v>
      </c>
      <c r="F4" s="72"/>
      <c r="G4" s="4">
        <f>C4-B20</f>
        <v>62500</v>
      </c>
      <c r="H4" s="1"/>
    </row>
    <row r="5" spans="1:8" x14ac:dyDescent="0.3">
      <c r="A5" s="5"/>
      <c r="B5" s="6"/>
      <c r="C5" s="1"/>
      <c r="D5" s="1"/>
      <c r="E5" s="1"/>
      <c r="F5" s="1"/>
      <c r="G5" s="1"/>
      <c r="H5" s="1"/>
    </row>
    <row r="6" spans="1:8" x14ac:dyDescent="0.3">
      <c r="A6" s="12" t="s">
        <v>102</v>
      </c>
      <c r="B6" s="12"/>
      <c r="C6" s="12"/>
      <c r="D6" s="12"/>
      <c r="E6" s="8"/>
      <c r="F6" s="8"/>
      <c r="G6" s="8"/>
      <c r="H6" s="8"/>
    </row>
    <row r="7" spans="1:8" x14ac:dyDescent="0.3">
      <c r="A7" s="9"/>
      <c r="B7" s="7"/>
      <c r="C7" s="7"/>
      <c r="D7" s="7"/>
      <c r="E7" s="1"/>
      <c r="F7" s="1"/>
      <c r="G7" s="1"/>
      <c r="H7" s="1"/>
    </row>
    <row r="8" spans="1:8" x14ac:dyDescent="0.3">
      <c r="A8" s="11" t="s">
        <v>103</v>
      </c>
      <c r="B8" s="70">
        <f>'October 2024'!G100</f>
        <v>0</v>
      </c>
      <c r="C8" s="70"/>
      <c r="D8" s="1"/>
      <c r="E8" s="1"/>
      <c r="F8" s="1"/>
      <c r="G8" s="1"/>
      <c r="H8" s="1"/>
    </row>
    <row r="9" spans="1:8" x14ac:dyDescent="0.3">
      <c r="A9" s="11" t="s">
        <v>104</v>
      </c>
      <c r="B9" s="70">
        <f>'November 2024'!G100</f>
        <v>0</v>
      </c>
      <c r="C9" s="70"/>
      <c r="D9" s="1"/>
      <c r="E9" s="1"/>
      <c r="F9" s="1"/>
      <c r="G9" s="1"/>
      <c r="H9" s="1"/>
    </row>
    <row r="10" spans="1:8" x14ac:dyDescent="0.3">
      <c r="A10" s="11" t="s">
        <v>105</v>
      </c>
      <c r="B10" s="70">
        <f>'December 2024'!G100</f>
        <v>0</v>
      </c>
      <c r="C10" s="70"/>
      <c r="D10" s="1"/>
      <c r="E10" s="1"/>
      <c r="F10" s="1"/>
      <c r="G10" s="1"/>
      <c r="H10" s="1"/>
    </row>
    <row r="11" spans="1:8" x14ac:dyDescent="0.3">
      <c r="A11" s="11" t="s">
        <v>106</v>
      </c>
      <c r="B11" s="70">
        <f>'January 2025'!G100</f>
        <v>0</v>
      </c>
      <c r="C11" s="70"/>
      <c r="D11" s="1"/>
      <c r="E11" s="1"/>
      <c r="F11" s="1"/>
      <c r="G11" s="1"/>
      <c r="H11" s="1"/>
    </row>
    <row r="12" spans="1:8" x14ac:dyDescent="0.3">
      <c r="A12" s="11" t="s">
        <v>107</v>
      </c>
      <c r="B12" s="70">
        <f>'February 2025'!G100</f>
        <v>0</v>
      </c>
      <c r="C12" s="70"/>
      <c r="D12" s="1"/>
      <c r="E12" s="1"/>
      <c r="F12" s="1"/>
      <c r="G12" s="1"/>
      <c r="H12" s="1"/>
    </row>
    <row r="13" spans="1:8" x14ac:dyDescent="0.3">
      <c r="A13" s="11" t="s">
        <v>108</v>
      </c>
      <c r="B13" s="70">
        <f>'March 2025'!G100</f>
        <v>0</v>
      </c>
      <c r="C13" s="70"/>
      <c r="D13" s="1"/>
      <c r="E13" s="1"/>
      <c r="F13" s="1"/>
      <c r="G13" s="1"/>
      <c r="H13" s="1"/>
    </row>
    <row r="14" spans="1:8" x14ac:dyDescent="0.3">
      <c r="A14" s="11" t="s">
        <v>109</v>
      </c>
      <c r="B14" s="70">
        <f>'April 2025'!G100</f>
        <v>0</v>
      </c>
      <c r="C14" s="70"/>
      <c r="D14" s="1"/>
      <c r="E14" s="1"/>
      <c r="F14" s="1"/>
      <c r="G14" s="1"/>
      <c r="H14" s="1"/>
    </row>
    <row r="15" spans="1:8" x14ac:dyDescent="0.3">
      <c r="A15" s="11" t="s">
        <v>110</v>
      </c>
      <c r="B15" s="70">
        <f>'May 2025'!G100</f>
        <v>0</v>
      </c>
      <c r="C15" s="70"/>
      <c r="D15" s="1"/>
      <c r="E15" s="1"/>
      <c r="F15" s="1"/>
      <c r="G15" s="1"/>
      <c r="H15" s="1"/>
    </row>
    <row r="16" spans="1:8" x14ac:dyDescent="0.3">
      <c r="A16" s="11" t="s">
        <v>111</v>
      </c>
      <c r="B16" s="70">
        <f>'June 2025'!G100</f>
        <v>0</v>
      </c>
      <c r="C16" s="70"/>
      <c r="D16" s="1"/>
      <c r="E16" s="1"/>
      <c r="F16" s="1"/>
      <c r="G16" s="1"/>
      <c r="H16" s="1"/>
    </row>
    <row r="17" spans="1:8" x14ac:dyDescent="0.3">
      <c r="A17" s="11" t="s">
        <v>112</v>
      </c>
      <c r="B17" s="70">
        <f>'July 2025'!G100</f>
        <v>0</v>
      </c>
      <c r="C17" s="70"/>
      <c r="D17" s="1"/>
      <c r="E17" s="1"/>
      <c r="F17" s="1"/>
      <c r="G17" s="1"/>
      <c r="H17" s="1"/>
    </row>
    <row r="18" spans="1:8" x14ac:dyDescent="0.3">
      <c r="A18" s="11" t="s">
        <v>113</v>
      </c>
      <c r="B18" s="70">
        <f>'August 2025'!G100</f>
        <v>0</v>
      </c>
      <c r="C18" s="70"/>
      <c r="D18" s="1"/>
      <c r="E18" s="1"/>
      <c r="F18" s="1"/>
      <c r="G18" s="1"/>
      <c r="H18" s="1"/>
    </row>
    <row r="19" spans="1:8" ht="17.25" thickBot="1" x14ac:dyDescent="0.35">
      <c r="A19" s="11" t="s">
        <v>114</v>
      </c>
      <c r="B19" s="75">
        <f>'September 2025'!G100</f>
        <v>0</v>
      </c>
      <c r="C19" s="75"/>
      <c r="D19" s="1"/>
      <c r="E19" s="1"/>
      <c r="F19" s="1"/>
      <c r="G19" s="1"/>
      <c r="H19" s="1"/>
    </row>
    <row r="20" spans="1:8" ht="18" thickTop="1" thickBot="1" x14ac:dyDescent="0.35">
      <c r="A20" s="10" t="s">
        <v>86</v>
      </c>
      <c r="B20" s="74">
        <f>SUM(B8:C19)</f>
        <v>0</v>
      </c>
      <c r="C20" s="74"/>
      <c r="D20" s="1"/>
      <c r="E20" s="1"/>
      <c r="F20" s="1"/>
      <c r="G20" s="1"/>
      <c r="H20" s="1"/>
    </row>
    <row r="21" spans="1:8" ht="17.25" thickTop="1" x14ac:dyDescent="0.3">
      <c r="A21" s="8"/>
      <c r="B21" s="8"/>
      <c r="C21" s="8"/>
      <c r="D21" s="1"/>
      <c r="E21" s="1"/>
      <c r="F21" s="1"/>
      <c r="G21" s="1"/>
      <c r="H21" s="1"/>
    </row>
    <row r="22" spans="1:8" ht="16.5" customHeight="1" x14ac:dyDescent="0.3"/>
  </sheetData>
  <mergeCells count="18">
    <mergeCell ref="B20:C20"/>
    <mergeCell ref="B18:C18"/>
    <mergeCell ref="B19:C19"/>
    <mergeCell ref="B16:C16"/>
    <mergeCell ref="B17:C17"/>
    <mergeCell ref="B14:C14"/>
    <mergeCell ref="B15:C15"/>
    <mergeCell ref="B12:C12"/>
    <mergeCell ref="B13:C13"/>
    <mergeCell ref="B10:C10"/>
    <mergeCell ref="B11:C11"/>
    <mergeCell ref="B8:C8"/>
    <mergeCell ref="B9:C9"/>
    <mergeCell ref="A4:B4"/>
    <mergeCell ref="E4:F4"/>
    <mergeCell ref="A1:H1"/>
    <mergeCell ref="A3:B3"/>
    <mergeCell ref="E3:F3"/>
  </mergeCells>
  <pageMargins left="0.7" right="0.29166666666666669" top="0.75" bottom="0.75" header="0.3" footer="0.3"/>
  <pageSetup orientation="portrait" horizontalDpi="1200" verticalDpi="1200" r:id="rId1"/>
  <headerFooter>
    <oddHeader>&amp;L&amp;F</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66A2E-59D6-4501-94BE-D037E405378D}">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Table132642[[#Totals],[Reimbursement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SUM(Table132642['# of hours])</f>
        <v>0</v>
      </c>
      <c r="D12" s="35">
        <f>SUM(Table132642['# of people reached])</f>
        <v>0</v>
      </c>
      <c r="E12" s="35">
        <f>SUM(Table132642['# of participants])</f>
        <v>0</v>
      </c>
      <c r="F12" s="35">
        <f>SUBTOTAL(109,Table132642['# of items handed out])</f>
        <v>0</v>
      </c>
      <c r="G12" s="37">
        <f>SUBTOTAL(109,Table132642[Reimbursement Amount Requested])</f>
        <v>0</v>
      </c>
      <c r="H12" s="52"/>
    </row>
    <row r="13" spans="1:8" x14ac:dyDescent="0.3">
      <c r="H13" s="52"/>
    </row>
    <row r="14" spans="1:8" ht="26.25" x14ac:dyDescent="0.45">
      <c r="A14" s="56" t="s">
        <v>140</v>
      </c>
      <c r="B14" s="57"/>
      <c r="C14" s="57"/>
      <c r="D14" s="57"/>
      <c r="E14" s="57"/>
      <c r="F14" s="58"/>
      <c r="G14" s="36">
        <f>Table1326643[[#Totals],[Reimbursement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SUM(Table1326643['# of hours])</f>
        <v>0</v>
      </c>
      <c r="D29" s="35">
        <f>SUM(Table1326643['# of people reached])</f>
        <v>0</v>
      </c>
      <c r="E29" s="35">
        <f>SUM(Table1326643['# of participants])</f>
        <v>0</v>
      </c>
      <c r="F29" s="35">
        <f>SUBTOTAL(109,Table1326643['# of items handed out])</f>
        <v>0</v>
      </c>
      <c r="G29" s="37">
        <f>SUBTOTAL(109,Table1326643[Reimbursement Amount Requested])</f>
        <v>0</v>
      </c>
      <c r="H29" s="52"/>
    </row>
    <row r="30" spans="1:8" x14ac:dyDescent="0.3">
      <c r="H30" s="52"/>
    </row>
    <row r="31" spans="1:8" ht="26.25" x14ac:dyDescent="0.45">
      <c r="A31" s="56" t="s">
        <v>143</v>
      </c>
      <c r="B31" s="57"/>
      <c r="C31" s="57"/>
      <c r="D31" s="57"/>
      <c r="E31" s="57"/>
      <c r="F31" s="58"/>
      <c r="G31" s="36">
        <f>Table13267644[[#Totals],[Reimbursement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SUM(Table13267644['# of hours])</f>
        <v>0</v>
      </c>
      <c r="D41" s="35">
        <f>SUM(Table13267644['# of people reached])</f>
        <v>0</v>
      </c>
      <c r="E41" s="35">
        <f>SUM(Table13267644['# of participants])</f>
        <v>0</v>
      </c>
      <c r="F41" s="35">
        <f>SUBTOTAL(109,Table13267644['# of items handed out])</f>
        <v>0</v>
      </c>
      <c r="G41" s="37">
        <f>SUBTOTAL(109,Table13267644[Reimbursement Amount Requested])</f>
        <v>0</v>
      </c>
      <c r="H41" s="52"/>
    </row>
    <row r="42" spans="1:8" x14ac:dyDescent="0.3">
      <c r="H42" s="52"/>
    </row>
    <row r="43" spans="1:8" ht="26.25" x14ac:dyDescent="0.45">
      <c r="A43" s="56" t="s">
        <v>146</v>
      </c>
      <c r="B43" s="57"/>
      <c r="C43" s="57"/>
      <c r="D43" s="57"/>
      <c r="E43" s="57"/>
      <c r="F43" s="58"/>
      <c r="G43" s="36">
        <f>Table132678645[[#Totals],[Reimbursement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SUM(Table132678645['# of hours])</f>
        <v>0</v>
      </c>
      <c r="D53" s="35">
        <f>SUM(Table132678645['# of people reached])</f>
        <v>0</v>
      </c>
      <c r="E53" s="35">
        <f>SUM(Table132678645['# of participants])</f>
        <v>0</v>
      </c>
      <c r="F53" s="35">
        <f>SUBTOTAL(109,Table132678645['# of items handed out])</f>
        <v>0</v>
      </c>
      <c r="G53" s="37">
        <f>SUBTOTAL(109,Table132678645[Reimbursement Amount Requested])</f>
        <v>0</v>
      </c>
      <c r="H53" s="52"/>
    </row>
    <row r="54" spans="1:8" x14ac:dyDescent="0.3">
      <c r="H54" s="52"/>
    </row>
    <row r="55" spans="1:8" ht="26.25" x14ac:dyDescent="0.45">
      <c r="A55" s="56" t="s">
        <v>181</v>
      </c>
      <c r="B55" s="57"/>
      <c r="C55" s="57"/>
      <c r="D55" s="57"/>
      <c r="E55" s="57"/>
      <c r="F55" s="58"/>
      <c r="G55" s="36">
        <f>Table1326789646[[#Totals],[Reimbursement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SUM(Table1326789646['# of hours])</f>
        <v>0</v>
      </c>
      <c r="D62" s="35">
        <f>SUM(Table1326789646['# of people reached])</f>
        <v>0</v>
      </c>
      <c r="E62" s="35">
        <f>SUM(Table1326789646['# of participants])</f>
        <v>0</v>
      </c>
      <c r="F62" s="35">
        <f>SUBTOTAL(109,Table1326789646['# of items handed out])</f>
        <v>0</v>
      </c>
      <c r="G62" s="31">
        <f>SUBTOTAL(109,Table1326789646[Reimbursement Amount Requested])</f>
        <v>0</v>
      </c>
      <c r="H62" s="52"/>
    </row>
    <row r="63" spans="1:8" x14ac:dyDescent="0.3">
      <c r="H63" s="52"/>
    </row>
    <row r="64" spans="1:8" ht="26.25" x14ac:dyDescent="0.45">
      <c r="A64" s="56" t="s">
        <v>186</v>
      </c>
      <c r="B64" s="57"/>
      <c r="C64" s="57"/>
      <c r="D64" s="57"/>
      <c r="E64" s="57"/>
      <c r="F64" s="58"/>
      <c r="G64" s="36">
        <f>Table13267810647[[#Totals],[Reimbursement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SUM(Table13267810647['# of hours])</f>
        <v>0</v>
      </c>
      <c r="D74" s="35">
        <f>SUM(Table13267810647['# of people reached])</f>
        <v>0</v>
      </c>
      <c r="E74" s="35">
        <f>SUM(Table13267810647['# of participants])</f>
        <v>0</v>
      </c>
      <c r="F74" s="35">
        <f>SUBTOTAL(109,Table13267810647['# of items handed out])</f>
        <v>0</v>
      </c>
      <c r="G74" s="37">
        <f>SUBTOTAL(109,Table13267810647[Reimbursement Amount Requested])</f>
        <v>0</v>
      </c>
      <c r="H74" s="52"/>
    </row>
    <row r="75" spans="1:8" x14ac:dyDescent="0.3">
      <c r="H75" s="52"/>
    </row>
    <row r="76" spans="1:8" ht="26.25" x14ac:dyDescent="0.45">
      <c r="A76" s="56" t="s">
        <v>187</v>
      </c>
      <c r="B76" s="57"/>
      <c r="C76" s="57"/>
      <c r="D76" s="57"/>
      <c r="E76" s="57"/>
      <c r="F76" s="58"/>
      <c r="G76" s="36">
        <f>Table1326781011648[[#Totals],[Reimbursement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SUM(Table1326781011648['# of hours])</f>
        <v>0</v>
      </c>
      <c r="D86" s="35">
        <f>SUM(Table1326781011648['# of people reached])</f>
        <v>0</v>
      </c>
      <c r="E86" s="35">
        <f>SUM(Table1326781011648['# of participants])</f>
        <v>0</v>
      </c>
      <c r="F86" s="35">
        <f>SUBTOTAL(109,Table1326781011648['# of items handed out])</f>
        <v>0</v>
      </c>
      <c r="G86" s="37">
        <f>SUBTOTAL(109,Table1326781011648[Reimbursement Amount Requested])</f>
        <v>0</v>
      </c>
      <c r="H86" s="52"/>
    </row>
    <row r="87" spans="1:8" x14ac:dyDescent="0.3">
      <c r="H87" s="52"/>
    </row>
    <row r="88" spans="1:8" ht="26.25" x14ac:dyDescent="0.45">
      <c r="A88" s="56" t="s">
        <v>189</v>
      </c>
      <c r="B88" s="57"/>
      <c r="C88" s="57"/>
      <c r="D88" s="57"/>
      <c r="E88" s="57"/>
      <c r="F88" s="58"/>
      <c r="G88" s="36">
        <f>Table132678101112649[[#Totals],[Reimbursement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SUM(Table132678101112649['# of hours])</f>
        <v>0</v>
      </c>
      <c r="D98" s="35">
        <f>SUM(Table132678101112649['# of people reached])</f>
        <v>0</v>
      </c>
      <c r="E98" s="35">
        <f>SUM(Table132678101112649['# of participants])</f>
        <v>0</v>
      </c>
      <c r="F98" s="35">
        <f>SUBTOTAL(109,Table132678101112649['# of items handed out])</f>
        <v>0</v>
      </c>
      <c r="G98" s="37">
        <f>SUBTOTAL(109,Table132678101112649[Reimbursement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2EFDD39A-94A7-43CA-9BB2-923835CD2B28}">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3E7C96F4-9455-427E-9500-33F86995444D}">
          <x14:formula1>
            <xm:f>Activities!$A$4:$A$27</xm:f>
          </x14:formula1>
          <xm:sqref>A7:A11</xm:sqref>
        </x14:dataValidation>
        <x14:dataValidation type="list" allowBlank="1" showInputMessage="1" showErrorMessage="1" xr:uid="{6EBAFCE2-5471-4743-82C6-3C40143BEE34}">
          <x14:formula1>
            <xm:f>Activities!$A$49:$A$59</xm:f>
          </x14:formula1>
          <xm:sqref>A36:A40</xm:sqref>
        </x14:dataValidation>
        <x14:dataValidation type="list" allowBlank="1" showInputMessage="1" showErrorMessage="1" xr:uid="{9F843ECA-825C-46B4-9211-1BB995D2E836}">
          <x14:formula1>
            <xm:f>Activities!$A$30:$A$46</xm:f>
          </x14:formula1>
          <xm:sqref>A19:A28</xm:sqref>
        </x14:dataValidation>
        <x14:dataValidation type="list" allowBlank="1" showInputMessage="1" showErrorMessage="1" xr:uid="{07B6E80E-8B5F-4EB5-9A52-CBE6E166AD59}">
          <x14:formula1>
            <xm:f>Activities!$A$87</xm:f>
          </x14:formula1>
          <xm:sqref>A60:A61</xm:sqref>
        </x14:dataValidation>
        <x14:dataValidation type="list" allowBlank="1" showInputMessage="1" showErrorMessage="1" xr:uid="{81D3D223-EEBF-4CED-B28C-84C6B1ABDF3E}">
          <x14:formula1>
            <xm:f>Activities!$A$90:$A$100</xm:f>
          </x14:formula1>
          <xm:sqref>A69:A73</xm:sqref>
        </x14:dataValidation>
        <x14:dataValidation type="list" allowBlank="1" showInputMessage="1" showErrorMessage="1" xr:uid="{AE9A7A26-F7D9-44BE-8659-E1E2690E93AD}">
          <x14:formula1>
            <xm:f>Activities!$A$103:$A$109</xm:f>
          </x14:formula1>
          <xm:sqref>A81:A85</xm:sqref>
        </x14:dataValidation>
        <x14:dataValidation type="list" allowBlank="1" showInputMessage="1" showErrorMessage="1" xr:uid="{292178BC-460E-40E0-BA83-7D22DB1F6EEB}">
          <x14:formula1>
            <xm:f>Activities!$A$112:$A$126</xm:f>
          </x14:formula1>
          <xm:sqref>A93:A97</xm:sqref>
        </x14:dataValidation>
        <x14:dataValidation type="list" allowBlank="1" showInputMessage="1" showErrorMessage="1" xr:uid="{E325C6BB-2C4B-4A05-8656-CB110D99FA7B}">
          <x14:formula1>
            <xm:f>Activities!$A$62:$A$84</xm:f>
          </x14:formula1>
          <xm:sqref>A49:A52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C8FA5-D8D1-442D-9797-1DD4A40D31E7}">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Table132650[[#Totals],[Reimbursement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SUM(Table132650['# of hours])</f>
        <v>0</v>
      </c>
      <c r="D12" s="35">
        <f>SUM(Table132650['# of people reached])</f>
        <v>0</v>
      </c>
      <c r="E12" s="35">
        <f>SUM(Table132650['# of participants])</f>
        <v>0</v>
      </c>
      <c r="F12" s="35">
        <f>SUBTOTAL(109,Table132650['# of items handed out])</f>
        <v>0</v>
      </c>
      <c r="G12" s="37">
        <f>SUBTOTAL(109,Table132650[Reimbursement Amount Requested])</f>
        <v>0</v>
      </c>
      <c r="H12" s="52"/>
    </row>
    <row r="13" spans="1:8" x14ac:dyDescent="0.3">
      <c r="H13" s="52"/>
    </row>
    <row r="14" spans="1:8" ht="26.25" x14ac:dyDescent="0.45">
      <c r="A14" s="56" t="s">
        <v>140</v>
      </c>
      <c r="B14" s="57"/>
      <c r="C14" s="57"/>
      <c r="D14" s="57"/>
      <c r="E14" s="57"/>
      <c r="F14" s="58"/>
      <c r="G14" s="36">
        <f>Table1326651[[#Totals],[Reimbursement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SUM(Table1326651['# of hours])</f>
        <v>0</v>
      </c>
      <c r="D29" s="35">
        <f>SUM(Table1326651['# of people reached])</f>
        <v>0</v>
      </c>
      <c r="E29" s="35">
        <f>SUM(Table1326651['# of participants])</f>
        <v>0</v>
      </c>
      <c r="F29" s="35">
        <f>SUBTOTAL(109,Table1326651['# of items handed out])</f>
        <v>0</v>
      </c>
      <c r="G29" s="37">
        <f>SUBTOTAL(109,Table1326651[Reimbursement Amount Requested])</f>
        <v>0</v>
      </c>
      <c r="H29" s="52"/>
    </row>
    <row r="30" spans="1:8" x14ac:dyDescent="0.3">
      <c r="H30" s="52"/>
    </row>
    <row r="31" spans="1:8" ht="26.25" x14ac:dyDescent="0.45">
      <c r="A31" s="56" t="s">
        <v>143</v>
      </c>
      <c r="B31" s="57"/>
      <c r="C31" s="57"/>
      <c r="D31" s="57"/>
      <c r="E31" s="57"/>
      <c r="F31" s="58"/>
      <c r="G31" s="36">
        <f>Table13267652[[#Totals],[Reimbursement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SUM(Table13267652['# of hours])</f>
        <v>0</v>
      </c>
      <c r="D41" s="35">
        <f>SUM(Table13267652['# of people reached])</f>
        <v>0</v>
      </c>
      <c r="E41" s="35">
        <f>SUM(Table13267652['# of participants])</f>
        <v>0</v>
      </c>
      <c r="F41" s="35">
        <f>SUBTOTAL(109,Table13267652['# of items handed out])</f>
        <v>0</v>
      </c>
      <c r="G41" s="37">
        <f>SUBTOTAL(109,Table13267652[Reimbursement Amount Requested])</f>
        <v>0</v>
      </c>
      <c r="H41" s="52"/>
    </row>
    <row r="42" spans="1:8" x14ac:dyDescent="0.3">
      <c r="H42" s="52"/>
    </row>
    <row r="43" spans="1:8" ht="26.25" x14ac:dyDescent="0.45">
      <c r="A43" s="56" t="s">
        <v>146</v>
      </c>
      <c r="B43" s="57"/>
      <c r="C43" s="57"/>
      <c r="D43" s="57"/>
      <c r="E43" s="57"/>
      <c r="F43" s="58"/>
      <c r="G43" s="36">
        <f>Table132678653[[#Totals],[Reimbursement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SUM(Table132678653['# of hours])</f>
        <v>0</v>
      </c>
      <c r="D53" s="35">
        <f>SUM(Table132678653['# of people reached])</f>
        <v>0</v>
      </c>
      <c r="E53" s="35">
        <f>SUM(Table132678653['# of participants])</f>
        <v>0</v>
      </c>
      <c r="F53" s="35">
        <f>SUBTOTAL(109,Table132678653['# of items handed out])</f>
        <v>0</v>
      </c>
      <c r="G53" s="37">
        <f>SUBTOTAL(109,Table132678653[Reimbursement Amount Requested])</f>
        <v>0</v>
      </c>
      <c r="H53" s="52"/>
    </row>
    <row r="54" spans="1:8" x14ac:dyDescent="0.3">
      <c r="H54" s="52"/>
    </row>
    <row r="55" spans="1:8" ht="26.25" x14ac:dyDescent="0.45">
      <c r="A55" s="56" t="s">
        <v>181</v>
      </c>
      <c r="B55" s="57"/>
      <c r="C55" s="57"/>
      <c r="D55" s="57"/>
      <c r="E55" s="57"/>
      <c r="F55" s="58"/>
      <c r="G55" s="36">
        <f>Table1326789654[[#Totals],[Reimbursement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SUM(Table1326789654['# of hours])</f>
        <v>0</v>
      </c>
      <c r="D62" s="35">
        <f>SUM(Table1326789654['# of people reached])</f>
        <v>0</v>
      </c>
      <c r="E62" s="35">
        <f>SUM(Table1326789654['# of participants])</f>
        <v>0</v>
      </c>
      <c r="F62" s="35">
        <f>SUBTOTAL(109,Table1326789654['# of items handed out])</f>
        <v>0</v>
      </c>
      <c r="G62" s="31">
        <f>SUBTOTAL(109,Table1326789654[Reimbursement Amount Requested])</f>
        <v>0</v>
      </c>
      <c r="H62" s="52"/>
    </row>
    <row r="63" spans="1:8" x14ac:dyDescent="0.3">
      <c r="H63" s="52"/>
    </row>
    <row r="64" spans="1:8" ht="26.25" x14ac:dyDescent="0.45">
      <c r="A64" s="56" t="s">
        <v>186</v>
      </c>
      <c r="B64" s="57"/>
      <c r="C64" s="57"/>
      <c r="D64" s="57"/>
      <c r="E64" s="57"/>
      <c r="F64" s="58"/>
      <c r="G64" s="36">
        <f>Table13267810655[[#Totals],[Reimbursement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SUM(Table13267810655['# of hours])</f>
        <v>0</v>
      </c>
      <c r="D74" s="35">
        <f>SUM(Table13267810655['# of people reached])</f>
        <v>0</v>
      </c>
      <c r="E74" s="35">
        <f>SUM(Table13267810655['# of participants])</f>
        <v>0</v>
      </c>
      <c r="F74" s="35">
        <f>SUBTOTAL(109,Table13267810655['# of items handed out])</f>
        <v>0</v>
      </c>
      <c r="G74" s="37">
        <f>SUBTOTAL(109,Table13267810655[Reimbursement Amount Requested])</f>
        <v>0</v>
      </c>
      <c r="H74" s="52"/>
    </row>
    <row r="75" spans="1:8" x14ac:dyDescent="0.3">
      <c r="H75" s="52"/>
    </row>
    <row r="76" spans="1:8" ht="26.25" x14ac:dyDescent="0.45">
      <c r="A76" s="56" t="s">
        <v>187</v>
      </c>
      <c r="B76" s="57"/>
      <c r="C76" s="57"/>
      <c r="D76" s="57"/>
      <c r="E76" s="57"/>
      <c r="F76" s="58"/>
      <c r="G76" s="36">
        <f>Table1326781011656[[#Totals],[Reimbursement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SUM(Table1326781011656['# of hours])</f>
        <v>0</v>
      </c>
      <c r="D86" s="35">
        <f>SUM(Table1326781011656['# of people reached])</f>
        <v>0</v>
      </c>
      <c r="E86" s="35">
        <f>SUM(Table1326781011656['# of participants])</f>
        <v>0</v>
      </c>
      <c r="F86" s="35">
        <f>SUBTOTAL(109,Table1326781011656['# of items handed out])</f>
        <v>0</v>
      </c>
      <c r="G86" s="37">
        <f>SUBTOTAL(109,Table1326781011656[Reimbursement Amount Requested])</f>
        <v>0</v>
      </c>
      <c r="H86" s="52"/>
    </row>
    <row r="87" spans="1:8" x14ac:dyDescent="0.3">
      <c r="H87" s="52"/>
    </row>
    <row r="88" spans="1:8" ht="26.25" x14ac:dyDescent="0.45">
      <c r="A88" s="56" t="s">
        <v>189</v>
      </c>
      <c r="B88" s="57"/>
      <c r="C88" s="57"/>
      <c r="D88" s="57"/>
      <c r="E88" s="57"/>
      <c r="F88" s="58"/>
      <c r="G88" s="36">
        <f>Table132678101112657[[#Totals],[Reimbursement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SUM(Table132678101112657['# of hours])</f>
        <v>0</v>
      </c>
      <c r="D98" s="35">
        <f>SUM(Table132678101112657['# of people reached])</f>
        <v>0</v>
      </c>
      <c r="E98" s="35">
        <f>SUM(Table132678101112657['# of participants])</f>
        <v>0</v>
      </c>
      <c r="F98" s="35">
        <f>SUBTOTAL(109,Table132678101112657['# of items handed out])</f>
        <v>0</v>
      </c>
      <c r="G98" s="37">
        <f>SUBTOTAL(109,Table132678101112657[Reimbursement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B205A1DF-069E-4F46-AF6B-B27C0A2D0635}">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099AE6F7-4BE7-4125-8045-E0FC4BEDF261}">
          <x14:formula1>
            <xm:f>Activities!$A$62:$A$84</xm:f>
          </x14:formula1>
          <xm:sqref>A49:A52</xm:sqref>
        </x14:dataValidation>
        <x14:dataValidation type="list" allowBlank="1" showInputMessage="1" showErrorMessage="1" xr:uid="{04ACC4E3-7661-4A05-8F51-027F2E21B815}">
          <x14:formula1>
            <xm:f>Activities!$A$112:$A$126</xm:f>
          </x14:formula1>
          <xm:sqref>A93:A97</xm:sqref>
        </x14:dataValidation>
        <x14:dataValidation type="list" allowBlank="1" showInputMessage="1" showErrorMessage="1" xr:uid="{729226BB-0552-4D74-9782-832C2F3A99A9}">
          <x14:formula1>
            <xm:f>Activities!$A$103:$A$109</xm:f>
          </x14:formula1>
          <xm:sqref>A81:A85</xm:sqref>
        </x14:dataValidation>
        <x14:dataValidation type="list" allowBlank="1" showInputMessage="1" showErrorMessage="1" xr:uid="{8ED3E19A-D5CE-4CC5-B06B-DC504C512C87}">
          <x14:formula1>
            <xm:f>Activities!$A$90:$A$100</xm:f>
          </x14:formula1>
          <xm:sqref>A69:A73</xm:sqref>
        </x14:dataValidation>
        <x14:dataValidation type="list" allowBlank="1" showInputMessage="1" showErrorMessage="1" xr:uid="{51F92DDA-59C7-477D-8C21-443EB8D1C403}">
          <x14:formula1>
            <xm:f>Activities!$A$87</xm:f>
          </x14:formula1>
          <xm:sqref>A60:A61</xm:sqref>
        </x14:dataValidation>
        <x14:dataValidation type="list" allowBlank="1" showInputMessage="1" showErrorMessage="1" xr:uid="{D5CEEC94-07EA-4FC0-8550-B0C1D9516936}">
          <x14:formula1>
            <xm:f>Activities!$A$30:$A$46</xm:f>
          </x14:formula1>
          <xm:sqref>A19:A28</xm:sqref>
        </x14:dataValidation>
        <x14:dataValidation type="list" allowBlank="1" showInputMessage="1" showErrorMessage="1" xr:uid="{9834F41D-4D14-4D37-A1FA-8B1021774D2A}">
          <x14:formula1>
            <xm:f>Activities!$A$49:$A$59</xm:f>
          </x14:formula1>
          <xm:sqref>A36:A40</xm:sqref>
        </x14:dataValidation>
        <x14:dataValidation type="list" allowBlank="1" showInputMessage="1" showErrorMessage="1" xr:uid="{575A1CA1-C44C-40B2-A07A-6F1AE57E477D}">
          <x14:formula1>
            <xm:f>Activities!$A$4:$A$27</xm:f>
          </x14:formula1>
          <xm:sqref>A7:A11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79EC-B566-46D2-8EC9-9F0EBEFAACA9}">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Table132658[[#Totals],[Reimbursement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SUM(Table132658['# of hours])</f>
        <v>0</v>
      </c>
      <c r="D12" s="35">
        <f>SUM(Table132658['# of people reached])</f>
        <v>0</v>
      </c>
      <c r="E12" s="35">
        <f>SUM(Table132658['# of participants])</f>
        <v>0</v>
      </c>
      <c r="F12" s="35">
        <f>SUBTOTAL(109,Table132658['# of items handed out])</f>
        <v>0</v>
      </c>
      <c r="G12" s="37">
        <f>SUBTOTAL(109,Table132658[Reimbursement Amount Requested])</f>
        <v>0</v>
      </c>
      <c r="H12" s="52"/>
    </row>
    <row r="13" spans="1:8" x14ac:dyDescent="0.3">
      <c r="H13" s="52"/>
    </row>
    <row r="14" spans="1:8" ht="26.25" x14ac:dyDescent="0.45">
      <c r="A14" s="56" t="s">
        <v>140</v>
      </c>
      <c r="B14" s="57"/>
      <c r="C14" s="57"/>
      <c r="D14" s="57"/>
      <c r="E14" s="57"/>
      <c r="F14" s="58"/>
      <c r="G14" s="36">
        <f>Table1326659[[#Totals],[Reimbursement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SUM(Table1326659['# of hours])</f>
        <v>0</v>
      </c>
      <c r="D29" s="35">
        <f>SUM(Table1326659['# of people reached])</f>
        <v>0</v>
      </c>
      <c r="E29" s="35">
        <f>SUM(Table1326659['# of participants])</f>
        <v>0</v>
      </c>
      <c r="F29" s="35">
        <f>SUBTOTAL(109,Table1326659['# of items handed out])</f>
        <v>0</v>
      </c>
      <c r="G29" s="37">
        <f>SUBTOTAL(109,Table1326659[Reimbursement Amount Requested])</f>
        <v>0</v>
      </c>
      <c r="H29" s="52"/>
    </row>
    <row r="30" spans="1:8" x14ac:dyDescent="0.3">
      <c r="H30" s="52"/>
    </row>
    <row r="31" spans="1:8" ht="26.25" x14ac:dyDescent="0.45">
      <c r="A31" s="56" t="s">
        <v>143</v>
      </c>
      <c r="B31" s="57"/>
      <c r="C31" s="57"/>
      <c r="D31" s="57"/>
      <c r="E31" s="57"/>
      <c r="F31" s="58"/>
      <c r="G31" s="36">
        <f>Table13267660[[#Totals],[Reimbursement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SUM(Table13267660['# of hours])</f>
        <v>0</v>
      </c>
      <c r="D41" s="35">
        <f>SUM(Table13267660['# of people reached])</f>
        <v>0</v>
      </c>
      <c r="E41" s="35">
        <f>SUM(Table13267660['# of participants])</f>
        <v>0</v>
      </c>
      <c r="F41" s="35">
        <f>SUBTOTAL(109,Table13267660['# of items handed out])</f>
        <v>0</v>
      </c>
      <c r="G41" s="37">
        <f>SUBTOTAL(109,Table13267660[Reimbursement Amount Requested])</f>
        <v>0</v>
      </c>
      <c r="H41" s="52"/>
    </row>
    <row r="42" spans="1:8" x14ac:dyDescent="0.3">
      <c r="H42" s="52"/>
    </row>
    <row r="43" spans="1:8" ht="26.25" x14ac:dyDescent="0.45">
      <c r="A43" s="56" t="s">
        <v>146</v>
      </c>
      <c r="B43" s="57"/>
      <c r="C43" s="57"/>
      <c r="D43" s="57"/>
      <c r="E43" s="57"/>
      <c r="F43" s="58"/>
      <c r="G43" s="36">
        <f>Table132678661[[#Totals],[Reimbursement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SUM(Table132678661['# of hours])</f>
        <v>0</v>
      </c>
      <c r="D53" s="35">
        <f>SUM(Table132678661['# of people reached])</f>
        <v>0</v>
      </c>
      <c r="E53" s="35">
        <f>SUM(Table132678661['# of participants])</f>
        <v>0</v>
      </c>
      <c r="F53" s="35">
        <f>SUBTOTAL(109,Table132678661['# of items handed out])</f>
        <v>0</v>
      </c>
      <c r="G53" s="37">
        <f>SUBTOTAL(109,Table132678661[Reimbursement Amount Requested])</f>
        <v>0</v>
      </c>
      <c r="H53" s="52"/>
    </row>
    <row r="54" spans="1:8" x14ac:dyDescent="0.3">
      <c r="H54" s="52"/>
    </row>
    <row r="55" spans="1:8" ht="26.25" x14ac:dyDescent="0.45">
      <c r="A55" s="56" t="s">
        <v>181</v>
      </c>
      <c r="B55" s="57"/>
      <c r="C55" s="57"/>
      <c r="D55" s="57"/>
      <c r="E55" s="57"/>
      <c r="F55" s="58"/>
      <c r="G55" s="36">
        <f>Table1326789662[[#Totals],[Reimbursement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SUM(Table1326789662['# of hours])</f>
        <v>0</v>
      </c>
      <c r="D62" s="35">
        <f>SUM(Table1326789662['# of people reached])</f>
        <v>0</v>
      </c>
      <c r="E62" s="35">
        <f>SUM(Table1326789662['# of participants])</f>
        <v>0</v>
      </c>
      <c r="F62" s="35">
        <f>SUBTOTAL(109,Table1326789662['# of items handed out])</f>
        <v>0</v>
      </c>
      <c r="G62" s="31">
        <f>SUBTOTAL(109,Table1326789662[Reimbursement Amount Requested])</f>
        <v>0</v>
      </c>
      <c r="H62" s="52"/>
    </row>
    <row r="63" spans="1:8" x14ac:dyDescent="0.3">
      <c r="H63" s="52"/>
    </row>
    <row r="64" spans="1:8" ht="26.25" x14ac:dyDescent="0.45">
      <c r="A64" s="56" t="s">
        <v>186</v>
      </c>
      <c r="B64" s="57"/>
      <c r="C64" s="57"/>
      <c r="D64" s="57"/>
      <c r="E64" s="57"/>
      <c r="F64" s="58"/>
      <c r="G64" s="36">
        <f>Table13267810663[[#Totals],[Reimbursement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SUM(Table13267810663['# of hours])</f>
        <v>0</v>
      </c>
      <c r="D74" s="35">
        <f>SUM(Table13267810663['# of people reached])</f>
        <v>0</v>
      </c>
      <c r="E74" s="35">
        <f>SUM(Table13267810663['# of participants])</f>
        <v>0</v>
      </c>
      <c r="F74" s="35">
        <f>SUBTOTAL(109,Table13267810663['# of items handed out])</f>
        <v>0</v>
      </c>
      <c r="G74" s="37">
        <f>SUBTOTAL(109,Table13267810663[Reimbursement Amount Requested])</f>
        <v>0</v>
      </c>
      <c r="H74" s="52"/>
    </row>
    <row r="75" spans="1:8" x14ac:dyDescent="0.3">
      <c r="H75" s="52"/>
    </row>
    <row r="76" spans="1:8" ht="26.25" x14ac:dyDescent="0.45">
      <c r="A76" s="56" t="s">
        <v>187</v>
      </c>
      <c r="B76" s="57"/>
      <c r="C76" s="57"/>
      <c r="D76" s="57"/>
      <c r="E76" s="57"/>
      <c r="F76" s="58"/>
      <c r="G76" s="36">
        <f>Table1326781011664[[#Totals],[Reimbursement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SUM(Table1326781011664['# of hours])</f>
        <v>0</v>
      </c>
      <c r="D86" s="35">
        <f>SUM(Table1326781011664['# of people reached])</f>
        <v>0</v>
      </c>
      <c r="E86" s="35">
        <f>SUM(Table1326781011664['# of participants])</f>
        <v>0</v>
      </c>
      <c r="F86" s="35">
        <f>SUBTOTAL(109,Table1326781011664['# of items handed out])</f>
        <v>0</v>
      </c>
      <c r="G86" s="37">
        <f>SUBTOTAL(109,Table1326781011664[Reimbursement Amount Requested])</f>
        <v>0</v>
      </c>
      <c r="H86" s="52"/>
    </row>
    <row r="87" spans="1:8" x14ac:dyDescent="0.3">
      <c r="H87" s="52"/>
    </row>
    <row r="88" spans="1:8" ht="26.25" x14ac:dyDescent="0.45">
      <c r="A88" s="56" t="s">
        <v>189</v>
      </c>
      <c r="B88" s="57"/>
      <c r="C88" s="57"/>
      <c r="D88" s="57"/>
      <c r="E88" s="57"/>
      <c r="F88" s="58"/>
      <c r="G88" s="36">
        <f>Table132678101112665[[#Totals],[Reimbursement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SUM(Table132678101112665['# of hours])</f>
        <v>0</v>
      </c>
      <c r="D98" s="35">
        <f>SUM(Table132678101112665['# of people reached])</f>
        <v>0</v>
      </c>
      <c r="E98" s="35">
        <f>SUM(Table132678101112665['# of participants])</f>
        <v>0</v>
      </c>
      <c r="F98" s="35">
        <f>SUBTOTAL(109,Table132678101112665['# of items handed out])</f>
        <v>0</v>
      </c>
      <c r="G98" s="37">
        <f>SUBTOTAL(109,Table132678101112665[Reimbursement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932176C1-F99F-4BB0-8295-A1E0AAB92F10}">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5813CF4C-BBF6-4E14-8695-C680381D46FC}">
          <x14:formula1>
            <xm:f>Activities!$A$4:$A$27</xm:f>
          </x14:formula1>
          <xm:sqref>A7:A11</xm:sqref>
        </x14:dataValidation>
        <x14:dataValidation type="list" allowBlank="1" showInputMessage="1" showErrorMessage="1" xr:uid="{A4B3E0A2-29CE-437E-8486-7D87165B7B61}">
          <x14:formula1>
            <xm:f>Activities!$A$49:$A$59</xm:f>
          </x14:formula1>
          <xm:sqref>A36:A40</xm:sqref>
        </x14:dataValidation>
        <x14:dataValidation type="list" allowBlank="1" showInputMessage="1" showErrorMessage="1" xr:uid="{2C22C35E-756F-4319-9135-5899C5BD8079}">
          <x14:formula1>
            <xm:f>Activities!$A$30:$A$46</xm:f>
          </x14:formula1>
          <xm:sqref>A19:A28</xm:sqref>
        </x14:dataValidation>
        <x14:dataValidation type="list" allowBlank="1" showInputMessage="1" showErrorMessage="1" xr:uid="{9320C3F4-07FA-45DB-9872-3BDD28593DBE}">
          <x14:formula1>
            <xm:f>Activities!$A$87</xm:f>
          </x14:formula1>
          <xm:sqref>A60:A61</xm:sqref>
        </x14:dataValidation>
        <x14:dataValidation type="list" allowBlank="1" showInputMessage="1" showErrorMessage="1" xr:uid="{5F49D98D-00B0-44A0-84AB-CF280F7818A8}">
          <x14:formula1>
            <xm:f>Activities!$A$90:$A$100</xm:f>
          </x14:formula1>
          <xm:sqref>A69:A73</xm:sqref>
        </x14:dataValidation>
        <x14:dataValidation type="list" allowBlank="1" showInputMessage="1" showErrorMessage="1" xr:uid="{E5587050-9FE7-49E0-88EE-1F1A414FD473}">
          <x14:formula1>
            <xm:f>Activities!$A$103:$A$109</xm:f>
          </x14:formula1>
          <xm:sqref>A81:A85</xm:sqref>
        </x14:dataValidation>
        <x14:dataValidation type="list" allowBlank="1" showInputMessage="1" showErrorMessage="1" xr:uid="{9C70A905-AE89-4BA8-9D4A-5AE995BCBF4C}">
          <x14:formula1>
            <xm:f>Activities!$A$112:$A$126</xm:f>
          </x14:formula1>
          <xm:sqref>A93:A97</xm:sqref>
        </x14:dataValidation>
        <x14:dataValidation type="list" allowBlank="1" showInputMessage="1" showErrorMessage="1" xr:uid="{990A90A1-779D-4AE6-B125-4474C7CDEE35}">
          <x14:formula1>
            <xm:f>Activities!$A$62:$A$84</xm:f>
          </x14:formula1>
          <xm:sqref>A49:A52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D1CE3-FCA6-4F5E-B7D4-298CF0338A1B}">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Table132666[[#Totals],[Reimbursement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SUM(Table132666['# of hours])</f>
        <v>0</v>
      </c>
      <c r="D12" s="35">
        <f>SUM(Table132666['# of people reached])</f>
        <v>0</v>
      </c>
      <c r="E12" s="35">
        <f>SUM(Table132666['# of participants])</f>
        <v>0</v>
      </c>
      <c r="F12" s="35">
        <f>SUBTOTAL(109,Table132666['# of items handed out])</f>
        <v>0</v>
      </c>
      <c r="G12" s="37">
        <f>SUBTOTAL(109,Table132666[Reimbursement Amount Requested])</f>
        <v>0</v>
      </c>
      <c r="H12" s="52"/>
    </row>
    <row r="13" spans="1:8" x14ac:dyDescent="0.3">
      <c r="H13" s="52"/>
    </row>
    <row r="14" spans="1:8" ht="26.25" x14ac:dyDescent="0.45">
      <c r="A14" s="56" t="s">
        <v>140</v>
      </c>
      <c r="B14" s="57"/>
      <c r="C14" s="57"/>
      <c r="D14" s="57"/>
      <c r="E14" s="57"/>
      <c r="F14" s="58"/>
      <c r="G14" s="36">
        <f>Table1326667[[#Totals],[Reimbursement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SUM(Table1326667['# of hours])</f>
        <v>0</v>
      </c>
      <c r="D29" s="35">
        <f>SUM(Table1326667['# of people reached])</f>
        <v>0</v>
      </c>
      <c r="E29" s="35">
        <f>SUM(Table1326667['# of participants])</f>
        <v>0</v>
      </c>
      <c r="F29" s="35">
        <f>SUBTOTAL(109,Table1326667['# of items handed out])</f>
        <v>0</v>
      </c>
      <c r="G29" s="37">
        <f>SUBTOTAL(109,Table1326667[Reimbursement Amount Requested])</f>
        <v>0</v>
      </c>
      <c r="H29" s="52"/>
    </row>
    <row r="30" spans="1:8" x14ac:dyDescent="0.3">
      <c r="H30" s="52"/>
    </row>
    <row r="31" spans="1:8" ht="26.25" x14ac:dyDescent="0.45">
      <c r="A31" s="56" t="s">
        <v>143</v>
      </c>
      <c r="B31" s="57"/>
      <c r="C31" s="57"/>
      <c r="D31" s="57"/>
      <c r="E31" s="57"/>
      <c r="F31" s="58"/>
      <c r="G31" s="36">
        <f>Table13267668[[#Totals],[Reimbursement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SUM(Table13267668['# of hours])</f>
        <v>0</v>
      </c>
      <c r="D41" s="35">
        <f>SUM(Table13267668['# of people reached])</f>
        <v>0</v>
      </c>
      <c r="E41" s="35">
        <f>SUM(Table13267668['# of participants])</f>
        <v>0</v>
      </c>
      <c r="F41" s="35">
        <f>SUBTOTAL(109,Table13267668['# of items handed out])</f>
        <v>0</v>
      </c>
      <c r="G41" s="37">
        <f>SUBTOTAL(109,Table13267668[Reimbursement Amount Requested])</f>
        <v>0</v>
      </c>
      <c r="H41" s="52"/>
    </row>
    <row r="42" spans="1:8" x14ac:dyDescent="0.3">
      <c r="H42" s="52"/>
    </row>
    <row r="43" spans="1:8" ht="26.25" x14ac:dyDescent="0.45">
      <c r="A43" s="56" t="s">
        <v>146</v>
      </c>
      <c r="B43" s="57"/>
      <c r="C43" s="57"/>
      <c r="D43" s="57"/>
      <c r="E43" s="57"/>
      <c r="F43" s="58"/>
      <c r="G43" s="36">
        <f>Table132678669[[#Totals],[Reimbursement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SUM(Table132678669['# of hours])</f>
        <v>0</v>
      </c>
      <c r="D53" s="35">
        <f>SUM(Table132678669['# of people reached])</f>
        <v>0</v>
      </c>
      <c r="E53" s="35">
        <f>SUM(Table132678669['# of participants])</f>
        <v>0</v>
      </c>
      <c r="F53" s="35">
        <f>SUBTOTAL(109,Table132678669['# of items handed out])</f>
        <v>0</v>
      </c>
      <c r="G53" s="37">
        <f>SUBTOTAL(109,Table132678669[Reimbursement Amount Requested])</f>
        <v>0</v>
      </c>
      <c r="H53" s="52"/>
    </row>
    <row r="54" spans="1:8" x14ac:dyDescent="0.3">
      <c r="H54" s="52"/>
    </row>
    <row r="55" spans="1:8" ht="26.25" x14ac:dyDescent="0.45">
      <c r="A55" s="56" t="s">
        <v>181</v>
      </c>
      <c r="B55" s="57"/>
      <c r="C55" s="57"/>
      <c r="D55" s="57"/>
      <c r="E55" s="57"/>
      <c r="F55" s="58"/>
      <c r="G55" s="36">
        <f>Table1326789670[[#Totals],[Reimbursement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SUM(Table1326789670['# of hours])</f>
        <v>0</v>
      </c>
      <c r="D62" s="35">
        <f>SUM(Table1326789670['# of people reached])</f>
        <v>0</v>
      </c>
      <c r="E62" s="35">
        <f>SUM(Table1326789670['# of participants])</f>
        <v>0</v>
      </c>
      <c r="F62" s="35">
        <f>SUBTOTAL(109,Table1326789670['# of items handed out])</f>
        <v>0</v>
      </c>
      <c r="G62" s="31">
        <f>SUBTOTAL(109,Table1326789670[Reimbursement Amount Requested])</f>
        <v>0</v>
      </c>
      <c r="H62" s="52"/>
    </row>
    <row r="63" spans="1:8" x14ac:dyDescent="0.3">
      <c r="H63" s="52"/>
    </row>
    <row r="64" spans="1:8" ht="26.25" x14ac:dyDescent="0.45">
      <c r="A64" s="56" t="s">
        <v>186</v>
      </c>
      <c r="B64" s="57"/>
      <c r="C64" s="57"/>
      <c r="D64" s="57"/>
      <c r="E64" s="57"/>
      <c r="F64" s="58"/>
      <c r="G64" s="36">
        <f>Table13267810671[[#Totals],[Reimbursement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SUM(Table13267810671['# of hours])</f>
        <v>0</v>
      </c>
      <c r="D74" s="35">
        <f>SUM(Table13267810671['# of people reached])</f>
        <v>0</v>
      </c>
      <c r="E74" s="35">
        <f>SUM(Table13267810671['# of participants])</f>
        <v>0</v>
      </c>
      <c r="F74" s="35">
        <f>SUBTOTAL(109,Table13267810671['# of items handed out])</f>
        <v>0</v>
      </c>
      <c r="G74" s="37">
        <f>SUBTOTAL(109,Table13267810671[Reimbursement Amount Requested])</f>
        <v>0</v>
      </c>
      <c r="H74" s="52"/>
    </row>
    <row r="75" spans="1:8" x14ac:dyDescent="0.3">
      <c r="H75" s="52"/>
    </row>
    <row r="76" spans="1:8" ht="26.25" x14ac:dyDescent="0.45">
      <c r="A76" s="56" t="s">
        <v>187</v>
      </c>
      <c r="B76" s="57"/>
      <c r="C76" s="57"/>
      <c r="D76" s="57"/>
      <c r="E76" s="57"/>
      <c r="F76" s="58"/>
      <c r="G76" s="36">
        <f>Table1326781011672[[#Totals],[Reimbursement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SUM(Table1326781011672['# of hours])</f>
        <v>0</v>
      </c>
      <c r="D86" s="35">
        <f>SUM(Table1326781011672['# of people reached])</f>
        <v>0</v>
      </c>
      <c r="E86" s="35">
        <f>SUM(Table1326781011672['# of participants])</f>
        <v>0</v>
      </c>
      <c r="F86" s="35">
        <f>SUBTOTAL(109,Table1326781011672['# of items handed out])</f>
        <v>0</v>
      </c>
      <c r="G86" s="37">
        <f>SUBTOTAL(109,Table1326781011672[Reimbursement Amount Requested])</f>
        <v>0</v>
      </c>
      <c r="H86" s="52"/>
    </row>
    <row r="87" spans="1:8" x14ac:dyDescent="0.3">
      <c r="H87" s="52"/>
    </row>
    <row r="88" spans="1:8" ht="26.25" x14ac:dyDescent="0.45">
      <c r="A88" s="56" t="s">
        <v>189</v>
      </c>
      <c r="B88" s="57"/>
      <c r="C88" s="57"/>
      <c r="D88" s="57"/>
      <c r="E88" s="57"/>
      <c r="F88" s="58"/>
      <c r="G88" s="36">
        <f>Table132678101112673[[#Totals],[Reimbursement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SUM(Table132678101112673['# of hours])</f>
        <v>0</v>
      </c>
      <c r="D98" s="35">
        <f>SUM(Table132678101112673['# of people reached])</f>
        <v>0</v>
      </c>
      <c r="E98" s="35">
        <f>SUM(Table132678101112673['# of participants])</f>
        <v>0</v>
      </c>
      <c r="F98" s="35">
        <f>SUBTOTAL(109,Table132678101112673['# of items handed out])</f>
        <v>0</v>
      </c>
      <c r="G98" s="37">
        <f>SUBTOTAL(109,Table132678101112673[Reimbursement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80ED9B0F-6C4D-438F-8F66-7A979769C470}">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11E08DEC-A9DE-43CF-9495-F7DCAB10CDD5}">
          <x14:formula1>
            <xm:f>Activities!$A$62:$A$84</xm:f>
          </x14:formula1>
          <xm:sqref>A49:A52</xm:sqref>
        </x14:dataValidation>
        <x14:dataValidation type="list" allowBlank="1" showInputMessage="1" showErrorMessage="1" xr:uid="{FBE60B69-EF99-4B41-BB30-E21E0A7B2CD1}">
          <x14:formula1>
            <xm:f>Activities!$A$112:$A$126</xm:f>
          </x14:formula1>
          <xm:sqref>A93:A97</xm:sqref>
        </x14:dataValidation>
        <x14:dataValidation type="list" allowBlank="1" showInputMessage="1" showErrorMessage="1" xr:uid="{DCB52A4B-B5B6-4BDC-8986-E7C5F56CD27C}">
          <x14:formula1>
            <xm:f>Activities!$A$103:$A$109</xm:f>
          </x14:formula1>
          <xm:sqref>A81:A85</xm:sqref>
        </x14:dataValidation>
        <x14:dataValidation type="list" allowBlank="1" showInputMessage="1" showErrorMessage="1" xr:uid="{7CBA1DD6-7B3F-4C70-A95E-0BDD602EA8F3}">
          <x14:formula1>
            <xm:f>Activities!$A$90:$A$100</xm:f>
          </x14:formula1>
          <xm:sqref>A69:A73</xm:sqref>
        </x14:dataValidation>
        <x14:dataValidation type="list" allowBlank="1" showInputMessage="1" showErrorMessage="1" xr:uid="{38FF1D43-DC99-4581-9A34-F4E44096ACA1}">
          <x14:formula1>
            <xm:f>Activities!$A$87</xm:f>
          </x14:formula1>
          <xm:sqref>A60:A61</xm:sqref>
        </x14:dataValidation>
        <x14:dataValidation type="list" allowBlank="1" showInputMessage="1" showErrorMessage="1" xr:uid="{357DC477-ACCF-402C-930E-41D92336F424}">
          <x14:formula1>
            <xm:f>Activities!$A$30:$A$46</xm:f>
          </x14:formula1>
          <xm:sqref>A19:A28</xm:sqref>
        </x14:dataValidation>
        <x14:dataValidation type="list" allowBlank="1" showInputMessage="1" showErrorMessage="1" xr:uid="{D6BDA3BE-693D-44B3-9449-6B970790C79B}">
          <x14:formula1>
            <xm:f>Activities!$A$49:$A$59</xm:f>
          </x14:formula1>
          <xm:sqref>A36:A40</xm:sqref>
        </x14:dataValidation>
        <x14:dataValidation type="list" allowBlank="1" showInputMessage="1" showErrorMessage="1" xr:uid="{4D5EFB3C-42FE-4A0E-A2A4-326809B50EDF}">
          <x14:formula1>
            <xm:f>Activities!$A$4:$A$27</xm:f>
          </x14:formula1>
          <xm:sqref>A7:A11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0329D-129D-487E-B6AB-7E31C3B35823}">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Table132674[[#Totals],[Reimbursement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SUM(Table132674['# of hours])</f>
        <v>0</v>
      </c>
      <c r="D12" s="35">
        <f>SUM(Table132674['# of people reached])</f>
        <v>0</v>
      </c>
      <c r="E12" s="35">
        <f>SUM(Table132674['# of participants])</f>
        <v>0</v>
      </c>
      <c r="F12" s="35">
        <f>SUBTOTAL(109,Table132674['# of items handed out])</f>
        <v>0</v>
      </c>
      <c r="G12" s="37">
        <f>SUBTOTAL(109,Table132674[Reimbursement Amount Requested])</f>
        <v>0</v>
      </c>
      <c r="H12" s="52"/>
    </row>
    <row r="13" spans="1:8" x14ac:dyDescent="0.3">
      <c r="H13" s="52"/>
    </row>
    <row r="14" spans="1:8" ht="26.25" x14ac:dyDescent="0.45">
      <c r="A14" s="56" t="s">
        <v>140</v>
      </c>
      <c r="B14" s="57"/>
      <c r="C14" s="57"/>
      <c r="D14" s="57"/>
      <c r="E14" s="57"/>
      <c r="F14" s="58"/>
      <c r="G14" s="36">
        <f>Table1326675[[#Totals],[Reimbursement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SUM(Table1326675['# of hours])</f>
        <v>0</v>
      </c>
      <c r="D29" s="35">
        <f>SUM(Table1326675['# of people reached])</f>
        <v>0</v>
      </c>
      <c r="E29" s="35">
        <f>SUM(Table1326675['# of participants])</f>
        <v>0</v>
      </c>
      <c r="F29" s="35">
        <f>SUBTOTAL(109,Table1326675['# of items handed out])</f>
        <v>0</v>
      </c>
      <c r="G29" s="37">
        <f>SUBTOTAL(109,Table1326675[Reimbursement Amount Requested])</f>
        <v>0</v>
      </c>
      <c r="H29" s="52"/>
    </row>
    <row r="30" spans="1:8" x14ac:dyDescent="0.3">
      <c r="H30" s="52"/>
    </row>
    <row r="31" spans="1:8" ht="26.25" x14ac:dyDescent="0.45">
      <c r="A31" s="56" t="s">
        <v>143</v>
      </c>
      <c r="B31" s="57"/>
      <c r="C31" s="57"/>
      <c r="D31" s="57"/>
      <c r="E31" s="57"/>
      <c r="F31" s="58"/>
      <c r="G31" s="36">
        <f>Table13267676[[#Totals],[Reimbursement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SUM(Table13267676['# of hours])</f>
        <v>0</v>
      </c>
      <c r="D41" s="35">
        <f>SUM(Table13267676['# of people reached])</f>
        <v>0</v>
      </c>
      <c r="E41" s="35">
        <f>SUM(Table13267676['# of participants])</f>
        <v>0</v>
      </c>
      <c r="F41" s="35">
        <f>SUBTOTAL(109,Table13267676['# of items handed out])</f>
        <v>0</v>
      </c>
      <c r="G41" s="37">
        <f>SUBTOTAL(109,Table13267676[Reimbursement Amount Requested])</f>
        <v>0</v>
      </c>
      <c r="H41" s="52"/>
    </row>
    <row r="42" spans="1:8" x14ac:dyDescent="0.3">
      <c r="H42" s="52"/>
    </row>
    <row r="43" spans="1:8" ht="26.25" x14ac:dyDescent="0.45">
      <c r="A43" s="56" t="s">
        <v>146</v>
      </c>
      <c r="B43" s="57"/>
      <c r="C43" s="57"/>
      <c r="D43" s="57"/>
      <c r="E43" s="57"/>
      <c r="F43" s="58"/>
      <c r="G43" s="36">
        <f>Table132678677[[#Totals],[Reimbursement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SUM(Table132678677['# of hours])</f>
        <v>0</v>
      </c>
      <c r="D53" s="35">
        <f>SUM(Table132678677['# of people reached])</f>
        <v>0</v>
      </c>
      <c r="E53" s="35">
        <f>SUM(Table132678677['# of participants])</f>
        <v>0</v>
      </c>
      <c r="F53" s="35">
        <f>SUBTOTAL(109,Table132678677['# of items handed out])</f>
        <v>0</v>
      </c>
      <c r="G53" s="37">
        <f>SUBTOTAL(109,Table132678677[Reimbursement Amount Requested])</f>
        <v>0</v>
      </c>
      <c r="H53" s="52"/>
    </row>
    <row r="54" spans="1:8" x14ac:dyDescent="0.3">
      <c r="H54" s="52"/>
    </row>
    <row r="55" spans="1:8" ht="26.25" x14ac:dyDescent="0.45">
      <c r="A55" s="56" t="s">
        <v>181</v>
      </c>
      <c r="B55" s="57"/>
      <c r="C55" s="57"/>
      <c r="D55" s="57"/>
      <c r="E55" s="57"/>
      <c r="F55" s="58"/>
      <c r="G55" s="36">
        <f>Table1326789678[[#Totals],[Reimbursement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SUM(Table1326789678['# of hours])</f>
        <v>0</v>
      </c>
      <c r="D62" s="35">
        <f>SUM(Table1326789678['# of people reached])</f>
        <v>0</v>
      </c>
      <c r="E62" s="35">
        <f>SUM(Table1326789678['# of participants])</f>
        <v>0</v>
      </c>
      <c r="F62" s="35">
        <f>SUBTOTAL(109,Table1326789678['# of items handed out])</f>
        <v>0</v>
      </c>
      <c r="G62" s="31">
        <f>SUBTOTAL(109,Table1326789678[Reimbursement Amount Requested])</f>
        <v>0</v>
      </c>
      <c r="H62" s="52"/>
    </row>
    <row r="63" spans="1:8" x14ac:dyDescent="0.3">
      <c r="H63" s="52"/>
    </row>
    <row r="64" spans="1:8" ht="26.25" x14ac:dyDescent="0.45">
      <c r="A64" s="56" t="s">
        <v>186</v>
      </c>
      <c r="B64" s="57"/>
      <c r="C64" s="57"/>
      <c r="D64" s="57"/>
      <c r="E64" s="57"/>
      <c r="F64" s="58"/>
      <c r="G64" s="36">
        <f>Table13267810679[[#Totals],[Reimbursement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SUM(Table13267810679['# of hours])</f>
        <v>0</v>
      </c>
      <c r="D74" s="35">
        <f>SUM(Table13267810679['# of people reached])</f>
        <v>0</v>
      </c>
      <c r="E74" s="35">
        <f>SUM(Table13267810679['# of participants])</f>
        <v>0</v>
      </c>
      <c r="F74" s="35">
        <f>SUBTOTAL(109,Table13267810679['# of items handed out])</f>
        <v>0</v>
      </c>
      <c r="G74" s="37">
        <f>SUBTOTAL(109,Table13267810679[Reimbursement Amount Requested])</f>
        <v>0</v>
      </c>
      <c r="H74" s="52"/>
    </row>
    <row r="75" spans="1:8" x14ac:dyDescent="0.3">
      <c r="H75" s="52"/>
    </row>
    <row r="76" spans="1:8" ht="26.25" x14ac:dyDescent="0.45">
      <c r="A76" s="56" t="s">
        <v>187</v>
      </c>
      <c r="B76" s="57"/>
      <c r="C76" s="57"/>
      <c r="D76" s="57"/>
      <c r="E76" s="57"/>
      <c r="F76" s="58"/>
      <c r="G76" s="36">
        <f>Table1326781011680[[#Totals],[Reimbursement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SUM(Table1326781011680['# of hours])</f>
        <v>0</v>
      </c>
      <c r="D86" s="35">
        <f>SUM(Table1326781011680['# of people reached])</f>
        <v>0</v>
      </c>
      <c r="E86" s="35">
        <f>SUM(Table1326781011680['# of participants])</f>
        <v>0</v>
      </c>
      <c r="F86" s="35">
        <f>SUBTOTAL(109,Table1326781011680['# of items handed out])</f>
        <v>0</v>
      </c>
      <c r="G86" s="37">
        <f>SUBTOTAL(109,Table1326781011680[Reimbursement Amount Requested])</f>
        <v>0</v>
      </c>
      <c r="H86" s="52"/>
    </row>
    <row r="87" spans="1:8" x14ac:dyDescent="0.3">
      <c r="H87" s="52"/>
    </row>
    <row r="88" spans="1:8" ht="26.25" x14ac:dyDescent="0.45">
      <c r="A88" s="56" t="s">
        <v>189</v>
      </c>
      <c r="B88" s="57"/>
      <c r="C88" s="57"/>
      <c r="D88" s="57"/>
      <c r="E88" s="57"/>
      <c r="F88" s="58"/>
      <c r="G88" s="36">
        <f>Table132678101112681[[#Totals],[Reimbursement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SUM(Table132678101112681['# of hours])</f>
        <v>0</v>
      </c>
      <c r="D98" s="35">
        <f>SUM(Table132678101112681['# of people reached])</f>
        <v>0</v>
      </c>
      <c r="E98" s="35">
        <f>SUM(Table132678101112681['# of participants])</f>
        <v>0</v>
      </c>
      <c r="F98" s="35">
        <f>SUBTOTAL(109,Table132678101112681['# of items handed out])</f>
        <v>0</v>
      </c>
      <c r="G98" s="37">
        <f>SUBTOTAL(109,Table132678101112681[Reimbursement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C2C3C247-84A0-404E-B62F-A9421C110685}">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6EB15A80-206E-4238-ADAE-0FE5BCEF78E0}">
          <x14:formula1>
            <xm:f>Activities!$A$4:$A$27</xm:f>
          </x14:formula1>
          <xm:sqref>A7:A11</xm:sqref>
        </x14:dataValidation>
        <x14:dataValidation type="list" allowBlank="1" showInputMessage="1" showErrorMessage="1" xr:uid="{FDE34F35-738F-4FFB-8457-DB0252DAFB11}">
          <x14:formula1>
            <xm:f>Activities!$A$49:$A$59</xm:f>
          </x14:formula1>
          <xm:sqref>A36:A40</xm:sqref>
        </x14:dataValidation>
        <x14:dataValidation type="list" allowBlank="1" showInputMessage="1" showErrorMessage="1" xr:uid="{8D1FDCD3-9DA9-42B2-B373-33B520EED436}">
          <x14:formula1>
            <xm:f>Activities!$A$30:$A$46</xm:f>
          </x14:formula1>
          <xm:sqref>A19:A28</xm:sqref>
        </x14:dataValidation>
        <x14:dataValidation type="list" allowBlank="1" showInputMessage="1" showErrorMessage="1" xr:uid="{C1E9B661-2658-4B69-BB5F-2B7F73CB4AAA}">
          <x14:formula1>
            <xm:f>Activities!$A$87</xm:f>
          </x14:formula1>
          <xm:sqref>A60:A61</xm:sqref>
        </x14:dataValidation>
        <x14:dataValidation type="list" allowBlank="1" showInputMessage="1" showErrorMessage="1" xr:uid="{38534632-7D65-469E-82C4-6E2AEC875910}">
          <x14:formula1>
            <xm:f>Activities!$A$90:$A$100</xm:f>
          </x14:formula1>
          <xm:sqref>A69:A73</xm:sqref>
        </x14:dataValidation>
        <x14:dataValidation type="list" allowBlank="1" showInputMessage="1" showErrorMessage="1" xr:uid="{4733D061-279A-4C1F-BE43-50857B1AB8FD}">
          <x14:formula1>
            <xm:f>Activities!$A$103:$A$109</xm:f>
          </x14:formula1>
          <xm:sqref>A81:A85</xm:sqref>
        </x14:dataValidation>
        <x14:dataValidation type="list" allowBlank="1" showInputMessage="1" showErrorMessage="1" xr:uid="{1EC688FF-328F-4989-91BE-6DD325F59EFB}">
          <x14:formula1>
            <xm:f>Activities!$A$112:$A$126</xm:f>
          </x14:formula1>
          <xm:sqref>A93:A97</xm:sqref>
        </x14:dataValidation>
        <x14:dataValidation type="list" allowBlank="1" showInputMessage="1" showErrorMessage="1" xr:uid="{5BEEA9FE-7953-4F48-97FE-6ADF95385DB9}">
          <x14:formula1>
            <xm:f>Activities!$A$62:$A$84</xm:f>
          </x14:formula1>
          <xm:sqref>A49:A52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334F-C765-4A43-89F0-743FBC3F1869}">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Table132682[[#Totals],[Reimbursement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SUM(Table132682['# of hours])</f>
        <v>0</v>
      </c>
      <c r="D12" s="35">
        <f>SUM(Table132682['# of people reached])</f>
        <v>0</v>
      </c>
      <c r="E12" s="35">
        <f>SUM(Table132682['# of participants])</f>
        <v>0</v>
      </c>
      <c r="F12" s="35">
        <f>SUBTOTAL(109,Table132682['# of items handed out])</f>
        <v>0</v>
      </c>
      <c r="G12" s="37">
        <f>SUBTOTAL(109,Table132682[Reimbursement Amount Requested])</f>
        <v>0</v>
      </c>
      <c r="H12" s="52"/>
    </row>
    <row r="13" spans="1:8" x14ac:dyDescent="0.3">
      <c r="H13" s="52"/>
    </row>
    <row r="14" spans="1:8" ht="26.25" x14ac:dyDescent="0.45">
      <c r="A14" s="56" t="s">
        <v>140</v>
      </c>
      <c r="B14" s="57"/>
      <c r="C14" s="57"/>
      <c r="D14" s="57"/>
      <c r="E14" s="57"/>
      <c r="F14" s="58"/>
      <c r="G14" s="36">
        <f>Table1326683[[#Totals],[Reimbursement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SUM(Table1326683['# of hours])</f>
        <v>0</v>
      </c>
      <c r="D29" s="35">
        <f>SUM(Table1326683['# of people reached])</f>
        <v>0</v>
      </c>
      <c r="E29" s="35">
        <f>SUM(Table1326683['# of participants])</f>
        <v>0</v>
      </c>
      <c r="F29" s="35">
        <f>SUBTOTAL(109,Table1326683['# of items handed out])</f>
        <v>0</v>
      </c>
      <c r="G29" s="37">
        <f>SUBTOTAL(109,Table1326683[Reimbursement Amount Requested])</f>
        <v>0</v>
      </c>
      <c r="H29" s="52"/>
    </row>
    <row r="30" spans="1:8" x14ac:dyDescent="0.3">
      <c r="H30" s="52"/>
    </row>
    <row r="31" spans="1:8" ht="26.25" x14ac:dyDescent="0.45">
      <c r="A31" s="56" t="s">
        <v>143</v>
      </c>
      <c r="B31" s="57"/>
      <c r="C31" s="57"/>
      <c r="D31" s="57"/>
      <c r="E31" s="57"/>
      <c r="F31" s="58"/>
      <c r="G31" s="36">
        <f>Table13267684[[#Totals],[Reimbursement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SUM(Table13267684['# of hours])</f>
        <v>0</v>
      </c>
      <c r="D41" s="35">
        <f>SUM(Table13267684['# of people reached])</f>
        <v>0</v>
      </c>
      <c r="E41" s="35">
        <f>SUM(Table13267684['# of participants])</f>
        <v>0</v>
      </c>
      <c r="F41" s="35">
        <f>SUBTOTAL(109,Table13267684['# of items handed out])</f>
        <v>0</v>
      </c>
      <c r="G41" s="37">
        <f>SUBTOTAL(109,Table13267684[Reimbursement Amount Requested])</f>
        <v>0</v>
      </c>
      <c r="H41" s="52"/>
    </row>
    <row r="42" spans="1:8" x14ac:dyDescent="0.3">
      <c r="H42" s="52"/>
    </row>
    <row r="43" spans="1:8" ht="26.25" x14ac:dyDescent="0.45">
      <c r="A43" s="56" t="s">
        <v>146</v>
      </c>
      <c r="B43" s="57"/>
      <c r="C43" s="57"/>
      <c r="D43" s="57"/>
      <c r="E43" s="57"/>
      <c r="F43" s="58"/>
      <c r="G43" s="36">
        <f>Table132678685[[#Totals],[Reimbursement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SUM(Table132678685['# of hours])</f>
        <v>0</v>
      </c>
      <c r="D53" s="35">
        <f>SUM(Table132678685['# of people reached])</f>
        <v>0</v>
      </c>
      <c r="E53" s="35">
        <f>SUM(Table132678685['# of participants])</f>
        <v>0</v>
      </c>
      <c r="F53" s="35">
        <f>SUBTOTAL(109,Table132678685['# of items handed out])</f>
        <v>0</v>
      </c>
      <c r="G53" s="37">
        <f>SUBTOTAL(109,Table132678685[Reimbursement Amount Requested])</f>
        <v>0</v>
      </c>
      <c r="H53" s="52"/>
    </row>
    <row r="54" spans="1:8" x14ac:dyDescent="0.3">
      <c r="H54" s="52"/>
    </row>
    <row r="55" spans="1:8" ht="26.25" x14ac:dyDescent="0.45">
      <c r="A55" s="56" t="s">
        <v>181</v>
      </c>
      <c r="B55" s="57"/>
      <c r="C55" s="57"/>
      <c r="D55" s="57"/>
      <c r="E55" s="57"/>
      <c r="F55" s="58"/>
      <c r="G55" s="36">
        <f>Table1326789686[[#Totals],[Reimbursement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SUM(Table1326789686['# of hours])</f>
        <v>0</v>
      </c>
      <c r="D62" s="35">
        <f>SUM(Table1326789686['# of people reached])</f>
        <v>0</v>
      </c>
      <c r="E62" s="35">
        <f>SUM(Table1326789686['# of participants])</f>
        <v>0</v>
      </c>
      <c r="F62" s="35">
        <f>SUBTOTAL(109,Table1326789686['# of items handed out])</f>
        <v>0</v>
      </c>
      <c r="G62" s="31">
        <f>SUBTOTAL(109,Table1326789686[Reimbursement Amount Requested])</f>
        <v>0</v>
      </c>
      <c r="H62" s="52"/>
    </row>
    <row r="63" spans="1:8" x14ac:dyDescent="0.3">
      <c r="H63" s="52"/>
    </row>
    <row r="64" spans="1:8" ht="26.25" x14ac:dyDescent="0.45">
      <c r="A64" s="56" t="s">
        <v>186</v>
      </c>
      <c r="B64" s="57"/>
      <c r="C64" s="57"/>
      <c r="D64" s="57"/>
      <c r="E64" s="57"/>
      <c r="F64" s="58"/>
      <c r="G64" s="36">
        <f>Table13267810687[[#Totals],[Reimbursement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SUM(Table13267810687['# of hours])</f>
        <v>0</v>
      </c>
      <c r="D74" s="35">
        <f>SUM(Table13267810687['# of people reached])</f>
        <v>0</v>
      </c>
      <c r="E74" s="35">
        <f>SUM(Table13267810687['# of participants])</f>
        <v>0</v>
      </c>
      <c r="F74" s="35">
        <f>SUBTOTAL(109,Table13267810687['# of items handed out])</f>
        <v>0</v>
      </c>
      <c r="G74" s="37">
        <f>SUBTOTAL(109,Table13267810687[Reimbursement Amount Requested])</f>
        <v>0</v>
      </c>
      <c r="H74" s="52"/>
    </row>
    <row r="75" spans="1:8" x14ac:dyDescent="0.3">
      <c r="H75" s="52"/>
    </row>
    <row r="76" spans="1:8" ht="26.25" x14ac:dyDescent="0.45">
      <c r="A76" s="56" t="s">
        <v>187</v>
      </c>
      <c r="B76" s="57"/>
      <c r="C76" s="57"/>
      <c r="D76" s="57"/>
      <c r="E76" s="57"/>
      <c r="F76" s="58"/>
      <c r="G76" s="36">
        <f>Table1326781011688[[#Totals],[Reimbursement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SUM(Table1326781011688['# of hours])</f>
        <v>0</v>
      </c>
      <c r="D86" s="35">
        <f>SUM(Table1326781011688['# of people reached])</f>
        <v>0</v>
      </c>
      <c r="E86" s="35">
        <f>SUM(Table1326781011688['# of participants])</f>
        <v>0</v>
      </c>
      <c r="F86" s="35">
        <f>SUBTOTAL(109,Table1326781011688['# of items handed out])</f>
        <v>0</v>
      </c>
      <c r="G86" s="37">
        <f>SUBTOTAL(109,Table1326781011688[Reimbursement Amount Requested])</f>
        <v>0</v>
      </c>
      <c r="H86" s="52"/>
    </row>
    <row r="87" spans="1:8" x14ac:dyDescent="0.3">
      <c r="H87" s="52"/>
    </row>
    <row r="88" spans="1:8" ht="26.25" x14ac:dyDescent="0.45">
      <c r="A88" s="56" t="s">
        <v>189</v>
      </c>
      <c r="B88" s="57"/>
      <c r="C88" s="57"/>
      <c r="D88" s="57"/>
      <c r="E88" s="57"/>
      <c r="F88" s="58"/>
      <c r="G88" s="36">
        <f>Table132678101112689[[#Totals],[Reimbursement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SUM(Table132678101112689['# of hours])</f>
        <v>0</v>
      </c>
      <c r="D98" s="35">
        <f>SUM(Table132678101112689['# of people reached])</f>
        <v>0</v>
      </c>
      <c r="E98" s="35">
        <f>SUM(Table132678101112689['# of participants])</f>
        <v>0</v>
      </c>
      <c r="F98" s="35">
        <f>SUBTOTAL(109,Table132678101112689['# of items handed out])</f>
        <v>0</v>
      </c>
      <c r="G98" s="37">
        <f>SUBTOTAL(109,Table132678101112689[Reimbursement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5DB6738E-3FB4-4360-8B41-7C033938424B}">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A9928091-96C1-418E-B4B2-34F19016CB4C}">
          <x14:formula1>
            <xm:f>Activities!$A$62:$A$84</xm:f>
          </x14:formula1>
          <xm:sqref>A49:A52</xm:sqref>
        </x14:dataValidation>
        <x14:dataValidation type="list" allowBlank="1" showInputMessage="1" showErrorMessage="1" xr:uid="{D4AF517C-0B14-4DE9-A0A8-A5FA35F4A52E}">
          <x14:formula1>
            <xm:f>Activities!$A$112:$A$126</xm:f>
          </x14:formula1>
          <xm:sqref>A93:A97</xm:sqref>
        </x14:dataValidation>
        <x14:dataValidation type="list" allowBlank="1" showInputMessage="1" showErrorMessage="1" xr:uid="{7BB60523-1CF4-4322-806A-B1E9EF677C5D}">
          <x14:formula1>
            <xm:f>Activities!$A$103:$A$109</xm:f>
          </x14:formula1>
          <xm:sqref>A81:A85</xm:sqref>
        </x14:dataValidation>
        <x14:dataValidation type="list" allowBlank="1" showInputMessage="1" showErrorMessage="1" xr:uid="{315DC696-EEE5-4F01-9106-3CF729243DA2}">
          <x14:formula1>
            <xm:f>Activities!$A$90:$A$100</xm:f>
          </x14:formula1>
          <xm:sqref>A69:A73</xm:sqref>
        </x14:dataValidation>
        <x14:dataValidation type="list" allowBlank="1" showInputMessage="1" showErrorMessage="1" xr:uid="{D85B17EE-E267-4E44-A6A1-4B85E68C3B71}">
          <x14:formula1>
            <xm:f>Activities!$A$87</xm:f>
          </x14:formula1>
          <xm:sqref>A60:A61</xm:sqref>
        </x14:dataValidation>
        <x14:dataValidation type="list" allowBlank="1" showInputMessage="1" showErrorMessage="1" xr:uid="{577BA6D3-DED7-4F6C-BC36-3DE99B9E8562}">
          <x14:formula1>
            <xm:f>Activities!$A$30:$A$46</xm:f>
          </x14:formula1>
          <xm:sqref>A19:A28</xm:sqref>
        </x14:dataValidation>
        <x14:dataValidation type="list" allowBlank="1" showInputMessage="1" showErrorMessage="1" xr:uid="{F33BE481-28F9-4956-B3B3-7EF7B901E1B8}">
          <x14:formula1>
            <xm:f>Activities!$A$49:$A$59</xm:f>
          </x14:formula1>
          <xm:sqref>A36:A40</xm:sqref>
        </x14:dataValidation>
        <x14:dataValidation type="list" allowBlank="1" showInputMessage="1" showErrorMessage="1" xr:uid="{E8BA7D9F-EE0F-40AC-B81F-B186375D4495}">
          <x14:formula1>
            <xm:f>Activities!$A$4:$A$27</xm:f>
          </x14:formula1>
          <xm:sqref>A7:A11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4D5F-5EA7-4840-B3B2-51B24CC8D5C2}">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Table132690[[#Totals],[Reimbursement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SUM(Table132690['# of hours])</f>
        <v>0</v>
      </c>
      <c r="D12" s="35">
        <f>SUM(Table132690['# of people reached])</f>
        <v>0</v>
      </c>
      <c r="E12" s="35">
        <f>SUM(Table132690['# of participants])</f>
        <v>0</v>
      </c>
      <c r="F12" s="35">
        <f>SUBTOTAL(109,Table132690['# of items handed out])</f>
        <v>0</v>
      </c>
      <c r="G12" s="37">
        <f>SUBTOTAL(109,Table132690[Reimbursement Amount Requested])</f>
        <v>0</v>
      </c>
      <c r="H12" s="52"/>
    </row>
    <row r="13" spans="1:8" x14ac:dyDescent="0.3">
      <c r="H13" s="52"/>
    </row>
    <row r="14" spans="1:8" ht="26.25" x14ac:dyDescent="0.45">
      <c r="A14" s="56" t="s">
        <v>140</v>
      </c>
      <c r="B14" s="57"/>
      <c r="C14" s="57"/>
      <c r="D14" s="57"/>
      <c r="E14" s="57"/>
      <c r="F14" s="58"/>
      <c r="G14" s="36">
        <f>Table1326691[[#Totals],[Reimbursement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SUM(Table1326691['# of hours])</f>
        <v>0</v>
      </c>
      <c r="D29" s="35">
        <f>SUM(Table1326691['# of people reached])</f>
        <v>0</v>
      </c>
      <c r="E29" s="35">
        <f>SUM(Table1326691['# of participants])</f>
        <v>0</v>
      </c>
      <c r="F29" s="35">
        <f>SUBTOTAL(109,Table1326691['# of items handed out])</f>
        <v>0</v>
      </c>
      <c r="G29" s="37">
        <f>SUBTOTAL(109,Table1326691[Reimbursement Amount Requested])</f>
        <v>0</v>
      </c>
      <c r="H29" s="52"/>
    </row>
    <row r="30" spans="1:8" x14ac:dyDescent="0.3">
      <c r="H30" s="52"/>
    </row>
    <row r="31" spans="1:8" ht="26.25" x14ac:dyDescent="0.45">
      <c r="A31" s="56" t="s">
        <v>143</v>
      </c>
      <c r="B31" s="57"/>
      <c r="C31" s="57"/>
      <c r="D31" s="57"/>
      <c r="E31" s="57"/>
      <c r="F31" s="58"/>
      <c r="G31" s="36">
        <f>Table13267692[[#Totals],[Reimbursement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SUM(Table13267692['# of hours])</f>
        <v>0</v>
      </c>
      <c r="D41" s="35">
        <f>SUM(Table13267692['# of people reached])</f>
        <v>0</v>
      </c>
      <c r="E41" s="35">
        <f>SUM(Table13267692['# of participants])</f>
        <v>0</v>
      </c>
      <c r="F41" s="35">
        <f>SUBTOTAL(109,Table13267692['# of items handed out])</f>
        <v>0</v>
      </c>
      <c r="G41" s="37">
        <f>SUBTOTAL(109,Table13267692[Reimbursement Amount Requested])</f>
        <v>0</v>
      </c>
      <c r="H41" s="52"/>
    </row>
    <row r="42" spans="1:8" x14ac:dyDescent="0.3">
      <c r="H42" s="52"/>
    </row>
    <row r="43" spans="1:8" ht="26.25" x14ac:dyDescent="0.45">
      <c r="A43" s="56" t="s">
        <v>146</v>
      </c>
      <c r="B43" s="57"/>
      <c r="C43" s="57"/>
      <c r="D43" s="57"/>
      <c r="E43" s="57"/>
      <c r="F43" s="58"/>
      <c r="G43" s="36">
        <f>Table132678693[[#Totals],[Reimbursement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SUM(Table132678693['# of hours])</f>
        <v>0</v>
      </c>
      <c r="D53" s="35">
        <f>SUM(Table132678693['# of people reached])</f>
        <v>0</v>
      </c>
      <c r="E53" s="35">
        <f>SUM(Table132678693['# of participants])</f>
        <v>0</v>
      </c>
      <c r="F53" s="35">
        <f>SUBTOTAL(109,Table132678693['# of items handed out])</f>
        <v>0</v>
      </c>
      <c r="G53" s="37">
        <f>SUBTOTAL(109,Table132678693[Reimbursement Amount Requested])</f>
        <v>0</v>
      </c>
      <c r="H53" s="52"/>
    </row>
    <row r="54" spans="1:8" x14ac:dyDescent="0.3">
      <c r="H54" s="52"/>
    </row>
    <row r="55" spans="1:8" ht="26.25" x14ac:dyDescent="0.45">
      <c r="A55" s="56" t="s">
        <v>181</v>
      </c>
      <c r="B55" s="57"/>
      <c r="C55" s="57"/>
      <c r="D55" s="57"/>
      <c r="E55" s="57"/>
      <c r="F55" s="58"/>
      <c r="G55" s="36">
        <f>Table1326789694[[#Totals],[Reimbursement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SUM(Table1326789694['# of hours])</f>
        <v>0</v>
      </c>
      <c r="D62" s="35">
        <f>SUM(Table1326789694['# of people reached])</f>
        <v>0</v>
      </c>
      <c r="E62" s="35">
        <f>SUM(Table1326789694['# of participants])</f>
        <v>0</v>
      </c>
      <c r="F62" s="35">
        <f>SUBTOTAL(109,Table1326789694['# of items handed out])</f>
        <v>0</v>
      </c>
      <c r="G62" s="31">
        <f>SUBTOTAL(109,Table1326789694[Reimbursement Amount Requested])</f>
        <v>0</v>
      </c>
      <c r="H62" s="52"/>
    </row>
    <row r="63" spans="1:8" x14ac:dyDescent="0.3">
      <c r="H63" s="52"/>
    </row>
    <row r="64" spans="1:8" ht="26.25" x14ac:dyDescent="0.45">
      <c r="A64" s="56" t="s">
        <v>186</v>
      </c>
      <c r="B64" s="57"/>
      <c r="C64" s="57"/>
      <c r="D64" s="57"/>
      <c r="E64" s="57"/>
      <c r="F64" s="58"/>
      <c r="G64" s="36">
        <f>Table13267810695[[#Totals],[Reimbursement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SUM(Table13267810695['# of hours])</f>
        <v>0</v>
      </c>
      <c r="D74" s="35">
        <f>SUM(Table13267810695['# of people reached])</f>
        <v>0</v>
      </c>
      <c r="E74" s="35">
        <f>SUM(Table13267810695['# of participants])</f>
        <v>0</v>
      </c>
      <c r="F74" s="35">
        <f>SUBTOTAL(109,Table13267810695['# of items handed out])</f>
        <v>0</v>
      </c>
      <c r="G74" s="37">
        <f>SUBTOTAL(109,Table13267810695[Reimbursement Amount Requested])</f>
        <v>0</v>
      </c>
      <c r="H74" s="52"/>
    </row>
    <row r="75" spans="1:8" x14ac:dyDescent="0.3">
      <c r="H75" s="52"/>
    </row>
    <row r="76" spans="1:8" ht="26.25" x14ac:dyDescent="0.45">
      <c r="A76" s="56" t="s">
        <v>187</v>
      </c>
      <c r="B76" s="57"/>
      <c r="C76" s="57"/>
      <c r="D76" s="57"/>
      <c r="E76" s="57"/>
      <c r="F76" s="58"/>
      <c r="G76" s="36">
        <f>Table1326781011696[[#Totals],[Reimbursement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SUM(Table1326781011696['# of hours])</f>
        <v>0</v>
      </c>
      <c r="D86" s="35">
        <f>SUM(Table1326781011696['# of people reached])</f>
        <v>0</v>
      </c>
      <c r="E86" s="35">
        <f>SUM(Table1326781011696['# of participants])</f>
        <v>0</v>
      </c>
      <c r="F86" s="35">
        <f>SUBTOTAL(109,Table1326781011696['# of items handed out])</f>
        <v>0</v>
      </c>
      <c r="G86" s="37">
        <f>SUBTOTAL(109,Table1326781011696[Reimbursement Amount Requested])</f>
        <v>0</v>
      </c>
      <c r="H86" s="52"/>
    </row>
    <row r="87" spans="1:8" x14ac:dyDescent="0.3">
      <c r="H87" s="52"/>
    </row>
    <row r="88" spans="1:8" ht="26.25" x14ac:dyDescent="0.45">
      <c r="A88" s="56" t="s">
        <v>189</v>
      </c>
      <c r="B88" s="57"/>
      <c r="C88" s="57"/>
      <c r="D88" s="57"/>
      <c r="E88" s="57"/>
      <c r="F88" s="58"/>
      <c r="G88" s="36">
        <f>Table132678101112697[[#Totals],[Reimbursement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SUM(Table132678101112697['# of hours])</f>
        <v>0</v>
      </c>
      <c r="D98" s="35">
        <f>SUM(Table132678101112697['# of people reached])</f>
        <v>0</v>
      </c>
      <c r="E98" s="35">
        <f>SUM(Table132678101112697['# of participants])</f>
        <v>0</v>
      </c>
      <c r="F98" s="35">
        <f>SUBTOTAL(109,Table132678101112697['# of items handed out])</f>
        <v>0</v>
      </c>
      <c r="G98" s="37">
        <f>SUBTOTAL(109,Table132678101112697[Reimbursement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E9A7DBF9-33C7-4B1B-B72E-6E54A94545A9}">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54E58084-7DAF-468D-9283-6A0519A8A3C8}">
          <x14:formula1>
            <xm:f>Activities!$A$4:$A$27</xm:f>
          </x14:formula1>
          <xm:sqref>A7:A11</xm:sqref>
        </x14:dataValidation>
        <x14:dataValidation type="list" allowBlank="1" showInputMessage="1" showErrorMessage="1" xr:uid="{8C49326A-EA5E-43EE-8263-A7B9856954ED}">
          <x14:formula1>
            <xm:f>Activities!$A$49:$A$59</xm:f>
          </x14:formula1>
          <xm:sqref>A36:A40</xm:sqref>
        </x14:dataValidation>
        <x14:dataValidation type="list" allowBlank="1" showInputMessage="1" showErrorMessage="1" xr:uid="{FD996A63-A73E-4569-8EF4-11C4A8BA7223}">
          <x14:formula1>
            <xm:f>Activities!$A$30:$A$46</xm:f>
          </x14:formula1>
          <xm:sqref>A19:A28</xm:sqref>
        </x14:dataValidation>
        <x14:dataValidation type="list" allowBlank="1" showInputMessage="1" showErrorMessage="1" xr:uid="{6826B62C-05E8-4AAD-8E73-48A6AA044396}">
          <x14:formula1>
            <xm:f>Activities!$A$87</xm:f>
          </x14:formula1>
          <xm:sqref>A60:A61</xm:sqref>
        </x14:dataValidation>
        <x14:dataValidation type="list" allowBlank="1" showInputMessage="1" showErrorMessage="1" xr:uid="{3CF6DE20-98FC-493F-A95F-CF6226CD26DB}">
          <x14:formula1>
            <xm:f>Activities!$A$90:$A$100</xm:f>
          </x14:formula1>
          <xm:sqref>A69:A73</xm:sqref>
        </x14:dataValidation>
        <x14:dataValidation type="list" allowBlank="1" showInputMessage="1" showErrorMessage="1" xr:uid="{D665D6E9-BD65-4C7A-8F4C-4C5BAD380D2D}">
          <x14:formula1>
            <xm:f>Activities!$A$103:$A$109</xm:f>
          </x14:formula1>
          <xm:sqref>A81:A85</xm:sqref>
        </x14:dataValidation>
        <x14:dataValidation type="list" allowBlank="1" showInputMessage="1" showErrorMessage="1" xr:uid="{EED83FA9-199E-479B-9333-105617E833E6}">
          <x14:formula1>
            <xm:f>Activities!$A$112:$A$126</xm:f>
          </x14:formula1>
          <xm:sqref>A93:A97</xm:sqref>
        </x14:dataValidation>
        <x14:dataValidation type="list" allowBlank="1" showInputMessage="1" showErrorMessage="1" xr:uid="{716879DB-0693-4FFB-910B-23F3034EF012}">
          <x14:formula1>
            <xm:f>Activities!$A$62:$A$84</xm:f>
          </x14:formula1>
          <xm:sqref>A49:A52</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43CA-EA2D-4488-A277-98DCEE6D6C8B}">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Table132698[[#Totals],[Reimbursement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SUM(Table132698['# of hours])</f>
        <v>0</v>
      </c>
      <c r="D12" s="35">
        <f>SUM(Table132698['# of people reached])</f>
        <v>0</v>
      </c>
      <c r="E12" s="35">
        <f>SUM(Table132698['# of participants])</f>
        <v>0</v>
      </c>
      <c r="F12" s="35">
        <f>SUBTOTAL(109,Table132698['# of items handed out])</f>
        <v>0</v>
      </c>
      <c r="G12" s="37">
        <f>SUBTOTAL(109,Table132698[Reimbursement Amount Requested])</f>
        <v>0</v>
      </c>
      <c r="H12" s="52"/>
    </row>
    <row r="13" spans="1:8" x14ac:dyDescent="0.3">
      <c r="H13" s="52"/>
    </row>
    <row r="14" spans="1:8" ht="26.25" x14ac:dyDescent="0.45">
      <c r="A14" s="56" t="s">
        <v>140</v>
      </c>
      <c r="B14" s="57"/>
      <c r="C14" s="57"/>
      <c r="D14" s="57"/>
      <c r="E14" s="57"/>
      <c r="F14" s="58"/>
      <c r="G14" s="36">
        <f>Table1326699[[#Totals],[Reimbursement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SUM(Table1326699['# of hours])</f>
        <v>0</v>
      </c>
      <c r="D29" s="35">
        <f>SUM(Table1326699['# of people reached])</f>
        <v>0</v>
      </c>
      <c r="E29" s="35">
        <f>SUM(Table1326699['# of participants])</f>
        <v>0</v>
      </c>
      <c r="F29" s="35">
        <f>SUBTOTAL(109,Table1326699['# of items handed out])</f>
        <v>0</v>
      </c>
      <c r="G29" s="37">
        <f>SUBTOTAL(109,Table1326699[Reimbursement Amount Requested])</f>
        <v>0</v>
      </c>
      <c r="H29" s="52"/>
    </row>
    <row r="30" spans="1:8" x14ac:dyDescent="0.3">
      <c r="H30" s="52"/>
    </row>
    <row r="31" spans="1:8" ht="26.25" x14ac:dyDescent="0.45">
      <c r="A31" s="56" t="s">
        <v>143</v>
      </c>
      <c r="B31" s="57"/>
      <c r="C31" s="57"/>
      <c r="D31" s="57"/>
      <c r="E31" s="57"/>
      <c r="F31" s="58"/>
      <c r="G31" s="36">
        <f>Table13267700[[#Totals],[Reimbursement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SUM(Table13267700['# of hours])</f>
        <v>0</v>
      </c>
      <c r="D41" s="35">
        <f>SUM(Table13267700['# of people reached])</f>
        <v>0</v>
      </c>
      <c r="E41" s="35">
        <f>SUM(Table13267700['# of participants])</f>
        <v>0</v>
      </c>
      <c r="F41" s="35">
        <f>SUBTOTAL(109,Table13267700['# of items handed out])</f>
        <v>0</v>
      </c>
      <c r="G41" s="37">
        <f>SUBTOTAL(109,Table13267700[Reimbursement Amount Requested])</f>
        <v>0</v>
      </c>
      <c r="H41" s="52"/>
    </row>
    <row r="42" spans="1:8" x14ac:dyDescent="0.3">
      <c r="H42" s="52"/>
    </row>
    <row r="43" spans="1:8" ht="26.25" x14ac:dyDescent="0.45">
      <c r="A43" s="56" t="s">
        <v>146</v>
      </c>
      <c r="B43" s="57"/>
      <c r="C43" s="57"/>
      <c r="D43" s="57"/>
      <c r="E43" s="57"/>
      <c r="F43" s="58"/>
      <c r="G43" s="36">
        <f>Table132678701[[#Totals],[Reimbursement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SUM(Table132678701['# of hours])</f>
        <v>0</v>
      </c>
      <c r="D53" s="35">
        <f>SUM(Table132678701['# of people reached])</f>
        <v>0</v>
      </c>
      <c r="E53" s="35">
        <f>SUM(Table132678701['# of participants])</f>
        <v>0</v>
      </c>
      <c r="F53" s="35">
        <f>SUBTOTAL(109,Table132678701['# of items handed out])</f>
        <v>0</v>
      </c>
      <c r="G53" s="37">
        <f>SUBTOTAL(109,Table132678701[Reimbursement Amount Requested])</f>
        <v>0</v>
      </c>
      <c r="H53" s="52"/>
    </row>
    <row r="54" spans="1:8" x14ac:dyDescent="0.3">
      <c r="H54" s="52"/>
    </row>
    <row r="55" spans="1:8" ht="26.25" x14ac:dyDescent="0.45">
      <c r="A55" s="56" t="s">
        <v>181</v>
      </c>
      <c r="B55" s="57"/>
      <c r="C55" s="57"/>
      <c r="D55" s="57"/>
      <c r="E55" s="57"/>
      <c r="F55" s="58"/>
      <c r="G55" s="36">
        <f>Table1326789702[[#Totals],[Reimbursement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SUM(Table1326789702['# of hours])</f>
        <v>0</v>
      </c>
      <c r="D62" s="35">
        <f>SUM(Table1326789702['# of people reached])</f>
        <v>0</v>
      </c>
      <c r="E62" s="35">
        <f>SUM(Table1326789702['# of participants])</f>
        <v>0</v>
      </c>
      <c r="F62" s="35">
        <f>SUBTOTAL(109,Table1326789702['# of items handed out])</f>
        <v>0</v>
      </c>
      <c r="G62" s="31">
        <f>SUBTOTAL(109,Table1326789702[Reimbursement Amount Requested])</f>
        <v>0</v>
      </c>
      <c r="H62" s="52"/>
    </row>
    <row r="63" spans="1:8" x14ac:dyDescent="0.3">
      <c r="H63" s="52"/>
    </row>
    <row r="64" spans="1:8" ht="26.25" x14ac:dyDescent="0.45">
      <c r="A64" s="56" t="s">
        <v>186</v>
      </c>
      <c r="B64" s="57"/>
      <c r="C64" s="57"/>
      <c r="D64" s="57"/>
      <c r="E64" s="57"/>
      <c r="F64" s="58"/>
      <c r="G64" s="36">
        <f>Table13267810703[[#Totals],[Reimbursement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SUM(Table13267810703['# of hours])</f>
        <v>0</v>
      </c>
      <c r="D74" s="35">
        <f>SUM(Table13267810703['# of people reached])</f>
        <v>0</v>
      </c>
      <c r="E74" s="35">
        <f>SUM(Table13267810703['# of participants])</f>
        <v>0</v>
      </c>
      <c r="F74" s="35">
        <f>SUBTOTAL(109,Table13267810703['# of items handed out])</f>
        <v>0</v>
      </c>
      <c r="G74" s="37">
        <f>SUBTOTAL(109,Table13267810703[Reimbursement Amount Requested])</f>
        <v>0</v>
      </c>
      <c r="H74" s="52"/>
    </row>
    <row r="75" spans="1:8" x14ac:dyDescent="0.3">
      <c r="H75" s="52"/>
    </row>
    <row r="76" spans="1:8" ht="26.25" x14ac:dyDescent="0.45">
      <c r="A76" s="56" t="s">
        <v>187</v>
      </c>
      <c r="B76" s="57"/>
      <c r="C76" s="57"/>
      <c r="D76" s="57"/>
      <c r="E76" s="57"/>
      <c r="F76" s="58"/>
      <c r="G76" s="36">
        <f>Table1326781011704[[#Totals],[Reimbursement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SUM(Table1326781011704['# of hours])</f>
        <v>0</v>
      </c>
      <c r="D86" s="35">
        <f>SUM(Table1326781011704['# of people reached])</f>
        <v>0</v>
      </c>
      <c r="E86" s="35">
        <f>SUM(Table1326781011704['# of participants])</f>
        <v>0</v>
      </c>
      <c r="F86" s="35">
        <f>SUBTOTAL(109,Table1326781011704['# of items handed out])</f>
        <v>0</v>
      </c>
      <c r="G86" s="37">
        <f>SUBTOTAL(109,Table1326781011704[Reimbursement Amount Requested])</f>
        <v>0</v>
      </c>
      <c r="H86" s="52"/>
    </row>
    <row r="87" spans="1:8" x14ac:dyDescent="0.3">
      <c r="H87" s="52"/>
    </row>
    <row r="88" spans="1:8" ht="26.25" x14ac:dyDescent="0.45">
      <c r="A88" s="56" t="s">
        <v>189</v>
      </c>
      <c r="B88" s="57"/>
      <c r="C88" s="57"/>
      <c r="D88" s="57"/>
      <c r="E88" s="57"/>
      <c r="F88" s="58"/>
      <c r="G88" s="36">
        <f>Table132678101112705[[#Totals],[Reimbursement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SUM(Table132678101112705['# of hours])</f>
        <v>0</v>
      </c>
      <c r="D98" s="35">
        <f>SUM(Table132678101112705['# of people reached])</f>
        <v>0</v>
      </c>
      <c r="E98" s="35">
        <f>SUM(Table132678101112705['# of participants])</f>
        <v>0</v>
      </c>
      <c r="F98" s="35">
        <f>SUBTOTAL(109,Table132678101112705['# of items handed out])</f>
        <v>0</v>
      </c>
      <c r="G98" s="37">
        <f>SUBTOTAL(109,Table132678101112705[Reimbursement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ACE9D568-E8E7-4CC6-A706-5B0E3945DB00}">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E7ABF62A-3ACF-4140-B004-65BA9526B36A}">
          <x14:formula1>
            <xm:f>Activities!$A$62:$A$84</xm:f>
          </x14:formula1>
          <xm:sqref>A49:A52</xm:sqref>
        </x14:dataValidation>
        <x14:dataValidation type="list" allowBlank="1" showInputMessage="1" showErrorMessage="1" xr:uid="{ADAA8230-6197-462C-A082-3D8E7418436B}">
          <x14:formula1>
            <xm:f>Activities!$A$112:$A$126</xm:f>
          </x14:formula1>
          <xm:sqref>A93:A97</xm:sqref>
        </x14:dataValidation>
        <x14:dataValidation type="list" allowBlank="1" showInputMessage="1" showErrorMessage="1" xr:uid="{06DC5543-2CCD-40F4-B3BE-A06D979DC740}">
          <x14:formula1>
            <xm:f>Activities!$A$103:$A$109</xm:f>
          </x14:formula1>
          <xm:sqref>A81:A85</xm:sqref>
        </x14:dataValidation>
        <x14:dataValidation type="list" allowBlank="1" showInputMessage="1" showErrorMessage="1" xr:uid="{CA3BFEFF-82D1-4C70-8E9F-693F6C643D98}">
          <x14:formula1>
            <xm:f>Activities!$A$90:$A$100</xm:f>
          </x14:formula1>
          <xm:sqref>A69:A73</xm:sqref>
        </x14:dataValidation>
        <x14:dataValidation type="list" allowBlank="1" showInputMessage="1" showErrorMessage="1" xr:uid="{939EDB3C-83CC-4B5A-BADD-73D44315AB36}">
          <x14:formula1>
            <xm:f>Activities!$A$87</xm:f>
          </x14:formula1>
          <xm:sqref>A60:A61</xm:sqref>
        </x14:dataValidation>
        <x14:dataValidation type="list" allowBlank="1" showInputMessage="1" showErrorMessage="1" xr:uid="{117C8515-E551-4FC8-8259-CC4CE83700A8}">
          <x14:formula1>
            <xm:f>Activities!$A$30:$A$46</xm:f>
          </x14:formula1>
          <xm:sqref>A19:A28</xm:sqref>
        </x14:dataValidation>
        <x14:dataValidation type="list" allowBlank="1" showInputMessage="1" showErrorMessage="1" xr:uid="{D00B9B09-7264-4F0F-A282-A6714CD4138D}">
          <x14:formula1>
            <xm:f>Activities!$A$49:$A$59</xm:f>
          </x14:formula1>
          <xm:sqref>A36:A40</xm:sqref>
        </x14:dataValidation>
        <x14:dataValidation type="list" allowBlank="1" showInputMessage="1" showErrorMessage="1" xr:uid="{82FBC6EE-8A51-4B7A-A5FA-859EE1001DA2}">
          <x14:formula1>
            <xm:f>Activities!$A$4:$A$27</xm:f>
          </x14:formula1>
          <xm:sqref>A7:A11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649A6-E58B-4CAF-9A6F-60AA93EBFCD3}">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Table132706[[#Totals],[Reimbursement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SUM(Table132706['# of hours])</f>
        <v>0</v>
      </c>
      <c r="D12" s="35">
        <f>SUM(Table132706['# of people reached])</f>
        <v>0</v>
      </c>
      <c r="E12" s="35">
        <f>SUM(Table132706['# of participants])</f>
        <v>0</v>
      </c>
      <c r="F12" s="35">
        <f>SUBTOTAL(109,Table132706['# of items handed out])</f>
        <v>0</v>
      </c>
      <c r="G12" s="37">
        <f>SUBTOTAL(109,Table132706[Reimbursement Amount Requested])</f>
        <v>0</v>
      </c>
      <c r="H12" s="52"/>
    </row>
    <row r="13" spans="1:8" x14ac:dyDescent="0.3">
      <c r="H13" s="52"/>
    </row>
    <row r="14" spans="1:8" ht="26.25" x14ac:dyDescent="0.45">
      <c r="A14" s="56" t="s">
        <v>140</v>
      </c>
      <c r="B14" s="57"/>
      <c r="C14" s="57"/>
      <c r="D14" s="57"/>
      <c r="E14" s="57"/>
      <c r="F14" s="58"/>
      <c r="G14" s="36">
        <f>Table1326707[[#Totals],[Reimbursement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SUM(Table1326707['# of hours])</f>
        <v>0</v>
      </c>
      <c r="D29" s="35">
        <f>SUM(Table1326707['# of people reached])</f>
        <v>0</v>
      </c>
      <c r="E29" s="35">
        <f>SUM(Table1326707['# of participants])</f>
        <v>0</v>
      </c>
      <c r="F29" s="35">
        <f>SUBTOTAL(109,Table1326707['# of items handed out])</f>
        <v>0</v>
      </c>
      <c r="G29" s="37">
        <f>SUBTOTAL(109,Table1326707[Reimbursement Amount Requested])</f>
        <v>0</v>
      </c>
      <c r="H29" s="52"/>
    </row>
    <row r="30" spans="1:8" x14ac:dyDescent="0.3">
      <c r="H30" s="52"/>
    </row>
    <row r="31" spans="1:8" ht="26.25" x14ac:dyDescent="0.45">
      <c r="A31" s="56" t="s">
        <v>143</v>
      </c>
      <c r="B31" s="57"/>
      <c r="C31" s="57"/>
      <c r="D31" s="57"/>
      <c r="E31" s="57"/>
      <c r="F31" s="58"/>
      <c r="G31" s="36">
        <f>Table13267708[[#Totals],[Reimbursement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SUM(Table13267708['# of hours])</f>
        <v>0</v>
      </c>
      <c r="D41" s="35">
        <f>SUM(Table13267708['# of people reached])</f>
        <v>0</v>
      </c>
      <c r="E41" s="35">
        <f>SUM(Table13267708['# of participants])</f>
        <v>0</v>
      </c>
      <c r="F41" s="35">
        <f>SUBTOTAL(109,Table13267708['# of items handed out])</f>
        <v>0</v>
      </c>
      <c r="G41" s="37">
        <f>SUBTOTAL(109,Table13267708[Reimbursement Amount Requested])</f>
        <v>0</v>
      </c>
      <c r="H41" s="52"/>
    </row>
    <row r="42" spans="1:8" x14ac:dyDescent="0.3">
      <c r="H42" s="52"/>
    </row>
    <row r="43" spans="1:8" ht="26.25" x14ac:dyDescent="0.45">
      <c r="A43" s="56" t="s">
        <v>146</v>
      </c>
      <c r="B43" s="57"/>
      <c r="C43" s="57"/>
      <c r="D43" s="57"/>
      <c r="E43" s="57"/>
      <c r="F43" s="58"/>
      <c r="G43" s="36">
        <f>Table132678709[[#Totals],[Reimbursement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SUM(Table132678709['# of hours])</f>
        <v>0</v>
      </c>
      <c r="D53" s="35">
        <f>SUM(Table132678709['# of people reached])</f>
        <v>0</v>
      </c>
      <c r="E53" s="35">
        <f>SUM(Table132678709['# of participants])</f>
        <v>0</v>
      </c>
      <c r="F53" s="35">
        <f>SUBTOTAL(109,Table132678709['# of items handed out])</f>
        <v>0</v>
      </c>
      <c r="G53" s="37">
        <f>SUBTOTAL(109,Table132678709[Reimbursement Amount Requested])</f>
        <v>0</v>
      </c>
      <c r="H53" s="52"/>
    </row>
    <row r="54" spans="1:8" x14ac:dyDescent="0.3">
      <c r="H54" s="52"/>
    </row>
    <row r="55" spans="1:8" ht="26.25" x14ac:dyDescent="0.45">
      <c r="A55" s="56" t="s">
        <v>181</v>
      </c>
      <c r="B55" s="57"/>
      <c r="C55" s="57"/>
      <c r="D55" s="57"/>
      <c r="E55" s="57"/>
      <c r="F55" s="58"/>
      <c r="G55" s="36">
        <f>Table1326789710[[#Totals],[Reimbursement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SUM(Table1326789710['# of hours])</f>
        <v>0</v>
      </c>
      <c r="D62" s="35">
        <f>SUM(Table1326789710['# of people reached])</f>
        <v>0</v>
      </c>
      <c r="E62" s="35">
        <f>SUM(Table1326789710['# of participants])</f>
        <v>0</v>
      </c>
      <c r="F62" s="35">
        <f>SUBTOTAL(109,Table1326789710['# of items handed out])</f>
        <v>0</v>
      </c>
      <c r="G62" s="31">
        <f>SUBTOTAL(109,Table1326789710[Reimbursement Amount Requested])</f>
        <v>0</v>
      </c>
      <c r="H62" s="52"/>
    </row>
    <row r="63" spans="1:8" x14ac:dyDescent="0.3">
      <c r="H63" s="52"/>
    </row>
    <row r="64" spans="1:8" ht="26.25" x14ac:dyDescent="0.45">
      <c r="A64" s="56" t="s">
        <v>186</v>
      </c>
      <c r="B64" s="57"/>
      <c r="C64" s="57"/>
      <c r="D64" s="57"/>
      <c r="E64" s="57"/>
      <c r="F64" s="58"/>
      <c r="G64" s="36">
        <f>Table13267810711[[#Totals],[Reimbursement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SUM(Table13267810711['# of hours])</f>
        <v>0</v>
      </c>
      <c r="D74" s="35">
        <f>SUM(Table13267810711['# of people reached])</f>
        <v>0</v>
      </c>
      <c r="E74" s="35">
        <f>SUM(Table13267810711['# of participants])</f>
        <v>0</v>
      </c>
      <c r="F74" s="35">
        <f>SUBTOTAL(109,Table13267810711['# of items handed out])</f>
        <v>0</v>
      </c>
      <c r="G74" s="37">
        <f>SUBTOTAL(109,Table13267810711[Reimbursement Amount Requested])</f>
        <v>0</v>
      </c>
      <c r="H74" s="52"/>
    </row>
    <row r="75" spans="1:8" x14ac:dyDescent="0.3">
      <c r="H75" s="52"/>
    </row>
    <row r="76" spans="1:8" ht="26.25" x14ac:dyDescent="0.45">
      <c r="A76" s="56" t="s">
        <v>187</v>
      </c>
      <c r="B76" s="57"/>
      <c r="C76" s="57"/>
      <c r="D76" s="57"/>
      <c r="E76" s="57"/>
      <c r="F76" s="58"/>
      <c r="G76" s="36">
        <f>Table1326781011712[[#Totals],[Reimbursement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SUM(Table1326781011712['# of hours])</f>
        <v>0</v>
      </c>
      <c r="D86" s="35">
        <f>SUM(Table1326781011712['# of people reached])</f>
        <v>0</v>
      </c>
      <c r="E86" s="35">
        <f>SUM(Table1326781011712['# of participants])</f>
        <v>0</v>
      </c>
      <c r="F86" s="35">
        <f>SUBTOTAL(109,Table1326781011712['# of items handed out])</f>
        <v>0</v>
      </c>
      <c r="G86" s="37">
        <f>SUBTOTAL(109,Table1326781011712[Reimbursement Amount Requested])</f>
        <v>0</v>
      </c>
      <c r="H86" s="52"/>
    </row>
    <row r="87" spans="1:8" x14ac:dyDescent="0.3">
      <c r="H87" s="52"/>
    </row>
    <row r="88" spans="1:8" ht="26.25" x14ac:dyDescent="0.45">
      <c r="A88" s="56" t="s">
        <v>189</v>
      </c>
      <c r="B88" s="57"/>
      <c r="C88" s="57"/>
      <c r="D88" s="57"/>
      <c r="E88" s="57"/>
      <c r="F88" s="58"/>
      <c r="G88" s="36">
        <f>Table132678101112713[[#Totals],[Reimbursement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SUM(Table132678101112713['# of hours])</f>
        <v>0</v>
      </c>
      <c r="D98" s="35">
        <f>SUM(Table132678101112713['# of people reached])</f>
        <v>0</v>
      </c>
      <c r="E98" s="35">
        <f>SUM(Table132678101112713['# of participants])</f>
        <v>0</v>
      </c>
      <c r="F98" s="35">
        <f>SUBTOTAL(109,Table132678101112713['# of items handed out])</f>
        <v>0</v>
      </c>
      <c r="G98" s="37">
        <f>SUBTOTAL(109,Table132678101112713[Reimbursement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8BD5DA86-3295-44F4-A27A-CC9DA2DB51B9}">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A6655DAB-DD70-4F77-ADE4-D59995CBB147}">
          <x14:formula1>
            <xm:f>Activities!$A$4:$A$27</xm:f>
          </x14:formula1>
          <xm:sqref>A7:A11</xm:sqref>
        </x14:dataValidation>
        <x14:dataValidation type="list" allowBlank="1" showInputMessage="1" showErrorMessage="1" xr:uid="{BE8ECEEB-5CE8-47EC-A2DF-8EDF7044592D}">
          <x14:formula1>
            <xm:f>Activities!$A$49:$A$59</xm:f>
          </x14:formula1>
          <xm:sqref>A36:A40</xm:sqref>
        </x14:dataValidation>
        <x14:dataValidation type="list" allowBlank="1" showInputMessage="1" showErrorMessage="1" xr:uid="{8FE65B51-4835-4976-B231-5A371E941700}">
          <x14:formula1>
            <xm:f>Activities!$A$30:$A$46</xm:f>
          </x14:formula1>
          <xm:sqref>A19:A28</xm:sqref>
        </x14:dataValidation>
        <x14:dataValidation type="list" allowBlank="1" showInputMessage="1" showErrorMessage="1" xr:uid="{199CFE66-80DE-4B9F-B31C-8BCA53DE48CE}">
          <x14:formula1>
            <xm:f>Activities!$A$87</xm:f>
          </x14:formula1>
          <xm:sqref>A60:A61</xm:sqref>
        </x14:dataValidation>
        <x14:dataValidation type="list" allowBlank="1" showInputMessage="1" showErrorMessage="1" xr:uid="{CADACE93-53E0-455C-B02E-9144C8FF49A8}">
          <x14:formula1>
            <xm:f>Activities!$A$90:$A$100</xm:f>
          </x14:formula1>
          <xm:sqref>A69:A73</xm:sqref>
        </x14:dataValidation>
        <x14:dataValidation type="list" allowBlank="1" showInputMessage="1" showErrorMessage="1" xr:uid="{0EE8EEA5-6AB7-49BC-9216-8ACB12ADED9F}">
          <x14:formula1>
            <xm:f>Activities!$A$103:$A$109</xm:f>
          </x14:formula1>
          <xm:sqref>A81:A85</xm:sqref>
        </x14:dataValidation>
        <x14:dataValidation type="list" allowBlank="1" showInputMessage="1" showErrorMessage="1" xr:uid="{9AEBF6E7-7005-4C02-8F7E-38DC275694D7}">
          <x14:formula1>
            <xm:f>Activities!$A$112:$A$126</xm:f>
          </x14:formula1>
          <xm:sqref>A93:A97</xm:sqref>
        </x14:dataValidation>
        <x14:dataValidation type="list" allowBlank="1" showInputMessage="1" showErrorMessage="1" xr:uid="{FD9703A1-F932-484B-9E5C-5103D6743542}">
          <x14:formula1>
            <xm:f>Activities!$A$62:$A$84</xm:f>
          </x14:formula1>
          <xm:sqref>A49:A52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79DB-E98C-4DC9-A566-0E06C13B2FB0}">
  <sheetPr>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row>
    <row r="2" spans="1:8" ht="26.25" x14ac:dyDescent="0.45">
      <c r="A2" s="56" t="s">
        <v>132</v>
      </c>
      <c r="B2" s="57"/>
      <c r="C2" s="57"/>
      <c r="D2" s="57"/>
      <c r="E2" s="57"/>
      <c r="F2" s="58"/>
      <c r="G2" s="36">
        <f>Table132714[[#Totals],[Reimbursement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SUM(Table132714['# of hours])</f>
        <v>0</v>
      </c>
      <c r="D12" s="35">
        <f>SUM(Table132714['# of people reached])</f>
        <v>0</v>
      </c>
      <c r="E12" s="35">
        <f>SUM(Table132714['# of participants])</f>
        <v>0</v>
      </c>
      <c r="F12" s="35">
        <f>SUBTOTAL(109,Table132714['# of items handed out])</f>
        <v>0</v>
      </c>
      <c r="G12" s="37">
        <f>SUBTOTAL(109,Table132714[Reimbursement Amount Requested])</f>
        <v>0</v>
      </c>
      <c r="H12" s="52"/>
    </row>
    <row r="13" spans="1:8" x14ac:dyDescent="0.3">
      <c r="H13" s="52"/>
    </row>
    <row r="14" spans="1:8" ht="26.25" x14ac:dyDescent="0.45">
      <c r="A14" s="56" t="s">
        <v>140</v>
      </c>
      <c r="B14" s="57"/>
      <c r="C14" s="57"/>
      <c r="D14" s="57"/>
      <c r="E14" s="57"/>
      <c r="F14" s="58"/>
      <c r="G14" s="36">
        <f>Table1326715[[#Totals],[Reimbursement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SUM(Table1326715['# of hours])</f>
        <v>0</v>
      </c>
      <c r="D29" s="35">
        <f>SUM(Table1326715['# of people reached])</f>
        <v>0</v>
      </c>
      <c r="E29" s="35">
        <f>SUM(Table1326715['# of participants])</f>
        <v>0</v>
      </c>
      <c r="F29" s="35">
        <f>SUBTOTAL(109,Table1326715['# of items handed out])</f>
        <v>0</v>
      </c>
      <c r="G29" s="37">
        <f>SUBTOTAL(109,Table1326715[Reimbursement Amount Requested])</f>
        <v>0</v>
      </c>
      <c r="H29" s="52"/>
    </row>
    <row r="30" spans="1:8" x14ac:dyDescent="0.3">
      <c r="H30" s="52"/>
    </row>
    <row r="31" spans="1:8" ht="26.25" x14ac:dyDescent="0.45">
      <c r="A31" s="56" t="s">
        <v>143</v>
      </c>
      <c r="B31" s="57"/>
      <c r="C31" s="57"/>
      <c r="D31" s="57"/>
      <c r="E31" s="57"/>
      <c r="F31" s="58"/>
      <c r="G31" s="36">
        <f>Table13267716[[#Totals],[Reimbursement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SUM(Table13267716['# of hours])</f>
        <v>0</v>
      </c>
      <c r="D41" s="35">
        <f>SUM(Table13267716['# of people reached])</f>
        <v>0</v>
      </c>
      <c r="E41" s="35">
        <f>SUM(Table13267716['# of participants])</f>
        <v>0</v>
      </c>
      <c r="F41" s="35">
        <f>SUBTOTAL(109,Table13267716['# of items handed out])</f>
        <v>0</v>
      </c>
      <c r="G41" s="37">
        <f>SUBTOTAL(109,Table13267716[Reimbursement Amount Requested])</f>
        <v>0</v>
      </c>
      <c r="H41" s="52"/>
    </row>
    <row r="42" spans="1:8" x14ac:dyDescent="0.3">
      <c r="H42" s="52"/>
    </row>
    <row r="43" spans="1:8" ht="26.25" x14ac:dyDescent="0.45">
      <c r="A43" s="56" t="s">
        <v>146</v>
      </c>
      <c r="B43" s="57"/>
      <c r="C43" s="57"/>
      <c r="D43" s="57"/>
      <c r="E43" s="57"/>
      <c r="F43" s="58"/>
      <c r="G43" s="36">
        <f>Table132678717[[#Totals],[Reimbursement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SUM(Table132678717['# of hours])</f>
        <v>0</v>
      </c>
      <c r="D53" s="35">
        <f>SUM(Table132678717['# of people reached])</f>
        <v>0</v>
      </c>
      <c r="E53" s="35">
        <f>SUM(Table132678717['# of participants])</f>
        <v>0</v>
      </c>
      <c r="F53" s="35">
        <f>SUBTOTAL(109,Table132678717['# of items handed out])</f>
        <v>0</v>
      </c>
      <c r="G53" s="37">
        <f>SUBTOTAL(109,Table132678717[Reimbursement Amount Requested])</f>
        <v>0</v>
      </c>
      <c r="H53" s="52"/>
    </row>
    <row r="54" spans="1:8" x14ac:dyDescent="0.3">
      <c r="H54" s="52"/>
    </row>
    <row r="55" spans="1:8" ht="26.25" x14ac:dyDescent="0.45">
      <c r="A55" s="56" t="s">
        <v>181</v>
      </c>
      <c r="B55" s="57"/>
      <c r="C55" s="57"/>
      <c r="D55" s="57"/>
      <c r="E55" s="57"/>
      <c r="F55" s="58"/>
      <c r="G55" s="36">
        <f>Table1326789718[[#Totals],[Reimbursement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SUM(Table1326789718['# of hours])</f>
        <v>0</v>
      </c>
      <c r="D62" s="35">
        <f>SUM(Table1326789718['# of people reached])</f>
        <v>0</v>
      </c>
      <c r="E62" s="35">
        <f>SUM(Table1326789718['# of participants])</f>
        <v>0</v>
      </c>
      <c r="F62" s="35">
        <f>SUBTOTAL(109,Table1326789718['# of items handed out])</f>
        <v>0</v>
      </c>
      <c r="G62" s="31">
        <f>SUBTOTAL(109,Table1326789718[Reimbursement Amount Requested])</f>
        <v>0</v>
      </c>
      <c r="H62" s="52"/>
    </row>
    <row r="63" spans="1:8" x14ac:dyDescent="0.3">
      <c r="H63" s="52"/>
    </row>
    <row r="64" spans="1:8" ht="26.25" x14ac:dyDescent="0.45">
      <c r="A64" s="56" t="s">
        <v>186</v>
      </c>
      <c r="B64" s="57"/>
      <c r="C64" s="57"/>
      <c r="D64" s="57"/>
      <c r="E64" s="57"/>
      <c r="F64" s="58"/>
      <c r="G64" s="36">
        <f>Table13267810719[[#Totals],[Reimbursement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SUM(Table13267810719['# of hours])</f>
        <v>0</v>
      </c>
      <c r="D74" s="35">
        <f>SUM(Table13267810719['# of people reached])</f>
        <v>0</v>
      </c>
      <c r="E74" s="35">
        <f>SUM(Table13267810719['# of participants])</f>
        <v>0</v>
      </c>
      <c r="F74" s="35">
        <f>SUBTOTAL(109,Table13267810719['# of items handed out])</f>
        <v>0</v>
      </c>
      <c r="G74" s="37">
        <f>SUBTOTAL(109,Table13267810719[Reimbursement Amount Requested])</f>
        <v>0</v>
      </c>
      <c r="H74" s="52"/>
    </row>
    <row r="75" spans="1:8" x14ac:dyDescent="0.3">
      <c r="H75" s="52"/>
    </row>
    <row r="76" spans="1:8" ht="26.25" x14ac:dyDescent="0.45">
      <c r="A76" s="56" t="s">
        <v>187</v>
      </c>
      <c r="B76" s="57"/>
      <c r="C76" s="57"/>
      <c r="D76" s="57"/>
      <c r="E76" s="57"/>
      <c r="F76" s="58"/>
      <c r="G76" s="36">
        <f>Table1326781011720[[#Totals],[Reimbursement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SUM(Table1326781011720['# of hours])</f>
        <v>0</v>
      </c>
      <c r="D86" s="35">
        <f>SUM(Table1326781011720['# of people reached])</f>
        <v>0</v>
      </c>
      <c r="E86" s="35">
        <f>SUM(Table1326781011720['# of participants])</f>
        <v>0</v>
      </c>
      <c r="F86" s="35">
        <f>SUBTOTAL(109,Table1326781011720['# of items handed out])</f>
        <v>0</v>
      </c>
      <c r="G86" s="37">
        <f>SUBTOTAL(109,Table1326781011720[Reimbursement Amount Requested])</f>
        <v>0</v>
      </c>
      <c r="H86" s="52"/>
    </row>
    <row r="87" spans="1:8" x14ac:dyDescent="0.3">
      <c r="H87" s="52"/>
    </row>
    <row r="88" spans="1:8" ht="26.25" x14ac:dyDescent="0.45">
      <c r="A88" s="56" t="s">
        <v>189</v>
      </c>
      <c r="B88" s="57"/>
      <c r="C88" s="57"/>
      <c r="D88" s="57"/>
      <c r="E88" s="57"/>
      <c r="F88" s="58"/>
      <c r="G88" s="36">
        <f>Table132678101112721[[#Totals],[Reimbursement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SUM(Table132678101112721['# of hours])</f>
        <v>0</v>
      </c>
      <c r="D98" s="35">
        <f>SUM(Table132678101112721['# of people reached])</f>
        <v>0</v>
      </c>
      <c r="E98" s="35">
        <f>SUM(Table132678101112721['# of participants])</f>
        <v>0</v>
      </c>
      <c r="F98" s="35">
        <f>SUBTOTAL(109,Table132678101112721['# of items handed out])</f>
        <v>0</v>
      </c>
      <c r="G98" s="37">
        <f>SUBTOTAL(109,Table132678101112721[Reimbursement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5D141AE2-BCEF-4678-8D89-F64C9C89D0BC}">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824808C8-1FA6-4DC8-A6F5-02E5DA821600}">
          <x14:formula1>
            <xm:f>Activities!$A$62:$A$84</xm:f>
          </x14:formula1>
          <xm:sqref>A49:A52</xm:sqref>
        </x14:dataValidation>
        <x14:dataValidation type="list" allowBlank="1" showInputMessage="1" showErrorMessage="1" xr:uid="{2C091D94-45D5-493F-8F3D-224480B91B35}">
          <x14:formula1>
            <xm:f>Activities!$A$112:$A$126</xm:f>
          </x14:formula1>
          <xm:sqref>A93:A97</xm:sqref>
        </x14:dataValidation>
        <x14:dataValidation type="list" allowBlank="1" showInputMessage="1" showErrorMessage="1" xr:uid="{6D12B0E7-3093-418A-8E22-DD7BBC43821D}">
          <x14:formula1>
            <xm:f>Activities!$A$103:$A$109</xm:f>
          </x14:formula1>
          <xm:sqref>A81:A85</xm:sqref>
        </x14:dataValidation>
        <x14:dataValidation type="list" allowBlank="1" showInputMessage="1" showErrorMessage="1" xr:uid="{805E78B8-D0C1-4DD9-BDEC-249C8ECC7782}">
          <x14:formula1>
            <xm:f>Activities!$A$90:$A$100</xm:f>
          </x14:formula1>
          <xm:sqref>A69:A73</xm:sqref>
        </x14:dataValidation>
        <x14:dataValidation type="list" allowBlank="1" showInputMessage="1" showErrorMessage="1" xr:uid="{2D3DF14C-71A6-4F35-9DC8-C150687EB644}">
          <x14:formula1>
            <xm:f>Activities!$A$87</xm:f>
          </x14:formula1>
          <xm:sqref>A60:A61</xm:sqref>
        </x14:dataValidation>
        <x14:dataValidation type="list" allowBlank="1" showInputMessage="1" showErrorMessage="1" xr:uid="{1D6AF3A4-B86B-4D59-924C-2C04215C9A78}">
          <x14:formula1>
            <xm:f>Activities!$A$30:$A$46</xm:f>
          </x14:formula1>
          <xm:sqref>A19:A28</xm:sqref>
        </x14:dataValidation>
        <x14:dataValidation type="list" allowBlank="1" showInputMessage="1" showErrorMessage="1" xr:uid="{FBCCF61F-9A01-466C-9406-585A0654F2A9}">
          <x14:formula1>
            <xm:f>Activities!$A$49:$A$59</xm:f>
          </x14:formula1>
          <xm:sqref>A36:A40</xm:sqref>
        </x14:dataValidation>
        <x14:dataValidation type="list" allowBlank="1" showInputMessage="1" showErrorMessage="1" xr:uid="{9FB06F6C-EA3F-4767-90EC-8F115C424FC9}">
          <x14:formula1>
            <xm:f>Activities!$A$4:$A$27</xm:f>
          </x14:formula1>
          <xm:sqref>A7:A11</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C2305-1E29-4265-9E3C-9A5C04AA5E89}">
  <sheetPr>
    <tabColor rgb="FF0E406A"/>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t="s">
        <v>243</v>
      </c>
    </row>
    <row r="2" spans="1:8" ht="26.25" x14ac:dyDescent="0.45">
      <c r="A2" s="56" t="s">
        <v>132</v>
      </c>
      <c r="B2" s="57"/>
      <c r="C2" s="57"/>
      <c r="D2" s="57"/>
      <c r="E2" s="57"/>
      <c r="F2" s="58"/>
      <c r="G2" s="36">
        <f>Table132722[[#Totals],[Reimbursement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SUM(Table132722['# of hours])</f>
        <v>0</v>
      </c>
      <c r="D12" s="35">
        <f>SUM(Table132722['# of people reached])</f>
        <v>0</v>
      </c>
      <c r="E12" s="35">
        <f>SUM(Table132722['# of participants])</f>
        <v>0</v>
      </c>
      <c r="F12" s="35">
        <f>SUBTOTAL(109,Table132722['# of items handed out])</f>
        <v>0</v>
      </c>
      <c r="G12" s="37">
        <f>SUBTOTAL(109,Table132722[Reimbursement Amount Requested])</f>
        <v>0</v>
      </c>
      <c r="H12" s="52"/>
    </row>
    <row r="13" spans="1:8" x14ac:dyDescent="0.3">
      <c r="H13" s="52"/>
    </row>
    <row r="14" spans="1:8" ht="26.25" x14ac:dyDescent="0.45">
      <c r="A14" s="56" t="s">
        <v>140</v>
      </c>
      <c r="B14" s="57"/>
      <c r="C14" s="57"/>
      <c r="D14" s="57"/>
      <c r="E14" s="57"/>
      <c r="F14" s="58"/>
      <c r="G14" s="36">
        <f>Table1326723[[#Totals],[Reimbursement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SUM(Table1326723['# of hours])</f>
        <v>0</v>
      </c>
      <c r="D29" s="35">
        <f>SUM(Table1326723['# of people reached])</f>
        <v>0</v>
      </c>
      <c r="E29" s="35">
        <f>SUM(Table1326723['# of participants])</f>
        <v>0</v>
      </c>
      <c r="F29" s="35">
        <f>SUBTOTAL(109,Table1326723['# of items handed out])</f>
        <v>0</v>
      </c>
      <c r="G29" s="37">
        <f>SUBTOTAL(109,Table1326723[Reimbursement Amount Requested])</f>
        <v>0</v>
      </c>
      <c r="H29" s="52"/>
    </row>
    <row r="30" spans="1:8" x14ac:dyDescent="0.3">
      <c r="H30" s="52"/>
    </row>
    <row r="31" spans="1:8" ht="26.25" x14ac:dyDescent="0.45">
      <c r="A31" s="56" t="s">
        <v>143</v>
      </c>
      <c r="B31" s="57"/>
      <c r="C31" s="57"/>
      <c r="D31" s="57"/>
      <c r="E31" s="57"/>
      <c r="F31" s="58"/>
      <c r="G31" s="36">
        <f>Table13267724[[#Totals],[Reimbursement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SUM(Table13267724['# of hours])</f>
        <v>0</v>
      </c>
      <c r="D41" s="35">
        <f>SUM(Table13267724['# of people reached])</f>
        <v>0</v>
      </c>
      <c r="E41" s="35">
        <f>SUM(Table13267724['# of participants])</f>
        <v>0</v>
      </c>
      <c r="F41" s="35">
        <f>SUBTOTAL(109,Table13267724['# of items handed out])</f>
        <v>0</v>
      </c>
      <c r="G41" s="37">
        <f>SUBTOTAL(109,Table13267724[Reimbursement Amount Requested])</f>
        <v>0</v>
      </c>
      <c r="H41" s="52"/>
    </row>
    <row r="42" spans="1:8" x14ac:dyDescent="0.3">
      <c r="H42" s="52"/>
    </row>
    <row r="43" spans="1:8" ht="26.25" x14ac:dyDescent="0.45">
      <c r="A43" s="56" t="s">
        <v>146</v>
      </c>
      <c r="B43" s="57"/>
      <c r="C43" s="57"/>
      <c r="D43" s="57"/>
      <c r="E43" s="57"/>
      <c r="F43" s="58"/>
      <c r="G43" s="36">
        <f>Table132678725[[#Totals],[Reimbursement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SUM(Table132678725['# of hours])</f>
        <v>0</v>
      </c>
      <c r="D53" s="35">
        <f>SUM(Table132678725['# of people reached])</f>
        <v>0</v>
      </c>
      <c r="E53" s="35">
        <f>SUM(Table132678725['# of participants])</f>
        <v>0</v>
      </c>
      <c r="F53" s="35">
        <f>SUBTOTAL(109,Table132678725['# of items handed out])</f>
        <v>0</v>
      </c>
      <c r="G53" s="37">
        <f>SUBTOTAL(109,Table132678725[Reimbursement Amount Requested])</f>
        <v>0</v>
      </c>
      <c r="H53" s="52"/>
    </row>
    <row r="54" spans="1:8" x14ac:dyDescent="0.3">
      <c r="H54" s="52"/>
    </row>
    <row r="55" spans="1:8" ht="26.25" x14ac:dyDescent="0.45">
      <c r="A55" s="56" t="s">
        <v>181</v>
      </c>
      <c r="B55" s="57"/>
      <c r="C55" s="57"/>
      <c r="D55" s="57"/>
      <c r="E55" s="57"/>
      <c r="F55" s="58"/>
      <c r="G55" s="36">
        <f>Table1326789726[[#Totals],[Reimbursement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SUM(Table1326789726['# of hours])</f>
        <v>0</v>
      </c>
      <c r="D62" s="35">
        <f>SUM(Table1326789726['# of people reached])</f>
        <v>0</v>
      </c>
      <c r="E62" s="35">
        <f>SUM(Table1326789726['# of participants])</f>
        <v>0</v>
      </c>
      <c r="F62" s="35">
        <f>SUBTOTAL(109,Table1326789726['# of items handed out])</f>
        <v>0</v>
      </c>
      <c r="G62" s="31">
        <f>SUBTOTAL(109,Table1326789726[Reimbursement Amount Requested])</f>
        <v>0</v>
      </c>
      <c r="H62" s="52"/>
    </row>
    <row r="63" spans="1:8" x14ac:dyDescent="0.3">
      <c r="H63" s="52"/>
    </row>
    <row r="64" spans="1:8" ht="26.25" x14ac:dyDescent="0.45">
      <c r="A64" s="56" t="s">
        <v>186</v>
      </c>
      <c r="B64" s="57"/>
      <c r="C64" s="57"/>
      <c r="D64" s="57"/>
      <c r="E64" s="57"/>
      <c r="F64" s="58"/>
      <c r="G64" s="36">
        <f>Table13267810727[[#Totals],[Reimbursement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SUM(Table13267810727['# of hours])</f>
        <v>0</v>
      </c>
      <c r="D74" s="35">
        <f>SUM(Table13267810727['# of people reached])</f>
        <v>0</v>
      </c>
      <c r="E74" s="35">
        <f>SUM(Table13267810727['# of participants])</f>
        <v>0</v>
      </c>
      <c r="F74" s="35">
        <f>SUBTOTAL(109,Table13267810727['# of items handed out])</f>
        <v>0</v>
      </c>
      <c r="G74" s="37">
        <f>SUBTOTAL(109,Table13267810727[Reimbursement Amount Requested])</f>
        <v>0</v>
      </c>
      <c r="H74" s="52"/>
    </row>
    <row r="75" spans="1:8" x14ac:dyDescent="0.3">
      <c r="H75" s="52"/>
    </row>
    <row r="76" spans="1:8" ht="26.25" x14ac:dyDescent="0.45">
      <c r="A76" s="56" t="s">
        <v>187</v>
      </c>
      <c r="B76" s="57"/>
      <c r="C76" s="57"/>
      <c r="D76" s="57"/>
      <c r="E76" s="57"/>
      <c r="F76" s="58"/>
      <c r="G76" s="36">
        <f>Table1326781011728[[#Totals],[Reimbursement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SUM(Table1326781011728['# of hours])</f>
        <v>0</v>
      </c>
      <c r="D86" s="35">
        <f>SUM(Table1326781011728['# of people reached])</f>
        <v>0</v>
      </c>
      <c r="E86" s="35">
        <f>SUM(Table1326781011728['# of participants])</f>
        <v>0</v>
      </c>
      <c r="F86" s="35">
        <f>SUBTOTAL(109,Table1326781011728['# of items handed out])</f>
        <v>0</v>
      </c>
      <c r="G86" s="37">
        <f>SUBTOTAL(109,Table1326781011728[Reimbursement Amount Requested])</f>
        <v>0</v>
      </c>
      <c r="H86" s="52"/>
    </row>
    <row r="87" spans="1:8" x14ac:dyDescent="0.3">
      <c r="H87" s="52"/>
    </row>
    <row r="88" spans="1:8" ht="26.25" x14ac:dyDescent="0.45">
      <c r="A88" s="56" t="s">
        <v>189</v>
      </c>
      <c r="B88" s="57"/>
      <c r="C88" s="57"/>
      <c r="D88" s="57"/>
      <c r="E88" s="57"/>
      <c r="F88" s="58"/>
      <c r="G88" s="36">
        <f>Table132678101112729[[#Totals],[Reimbursement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SUM(Table132678101112729['# of hours])</f>
        <v>0</v>
      </c>
      <c r="D98" s="35">
        <f>SUM(Table132678101112729['# of people reached])</f>
        <v>0</v>
      </c>
      <c r="E98" s="35">
        <f>SUM(Table132678101112729['# of participants])</f>
        <v>0</v>
      </c>
      <c r="F98" s="35">
        <f>SUBTOTAL(109,Table132678101112729['# of items handed out])</f>
        <v>0</v>
      </c>
      <c r="G98" s="37">
        <f>SUBTOTAL(109,Table132678101112729[Reimbursement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2AF77D74-F7DA-4573-A6BC-69C70DD3B7DD}">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E2E120DD-670A-48CC-825A-A71E8F6A1D02}">
          <x14:formula1>
            <xm:f>Activities!$A$4:$A$27</xm:f>
          </x14:formula1>
          <xm:sqref>A7:A11</xm:sqref>
        </x14:dataValidation>
        <x14:dataValidation type="list" allowBlank="1" showInputMessage="1" showErrorMessage="1" xr:uid="{A75FD41F-D043-4FBE-908D-9A3009A139D2}">
          <x14:formula1>
            <xm:f>Activities!$A$49:$A$59</xm:f>
          </x14:formula1>
          <xm:sqref>A36:A40</xm:sqref>
        </x14:dataValidation>
        <x14:dataValidation type="list" allowBlank="1" showInputMessage="1" showErrorMessage="1" xr:uid="{06228E96-690E-4633-8B18-F5A97FD75A56}">
          <x14:formula1>
            <xm:f>Activities!$A$30:$A$46</xm:f>
          </x14:formula1>
          <xm:sqref>A19:A28</xm:sqref>
        </x14:dataValidation>
        <x14:dataValidation type="list" allowBlank="1" showInputMessage="1" showErrorMessage="1" xr:uid="{B274F439-F4E5-406B-BCC2-49D84A5045E9}">
          <x14:formula1>
            <xm:f>Activities!$A$87</xm:f>
          </x14:formula1>
          <xm:sqref>A60:A61</xm:sqref>
        </x14:dataValidation>
        <x14:dataValidation type="list" allowBlank="1" showInputMessage="1" showErrorMessage="1" xr:uid="{327D85B0-632A-4F08-9483-BC36F5F09A9C}">
          <x14:formula1>
            <xm:f>Activities!$A$90:$A$100</xm:f>
          </x14:formula1>
          <xm:sqref>A69:A73</xm:sqref>
        </x14:dataValidation>
        <x14:dataValidation type="list" allowBlank="1" showInputMessage="1" showErrorMessage="1" xr:uid="{621E4A91-6CDC-49EA-9307-ECD49ED0A65B}">
          <x14:formula1>
            <xm:f>Activities!$A$103:$A$109</xm:f>
          </x14:formula1>
          <xm:sqref>A81:A85</xm:sqref>
        </x14:dataValidation>
        <x14:dataValidation type="list" allowBlank="1" showInputMessage="1" showErrorMessage="1" xr:uid="{41A3D9DA-7C97-4E24-9628-E04716118F37}">
          <x14:formula1>
            <xm:f>Activities!$A$112:$A$126</xm:f>
          </x14:formula1>
          <xm:sqref>A93:A97</xm:sqref>
        </x14:dataValidation>
        <x14:dataValidation type="list" allowBlank="1" showInputMessage="1" showErrorMessage="1" xr:uid="{14D9CEDD-FC73-4016-BE66-FD69802F926E}">
          <x14:formula1>
            <xm:f>Activities!$A$62:$A$84</xm:f>
          </x14:formula1>
          <xm:sqref>A49:A52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B59B-393A-4BBB-9FDE-AD5D9253E19D}">
  <sheetPr>
    <tabColor rgb="FF0E406A"/>
    <pageSetUpPr fitToPage="1"/>
  </sheetPr>
  <dimension ref="A1:H100"/>
  <sheetViews>
    <sheetView view="pageLayout" zoomScaleNormal="100" workbookViewId="0">
      <selection activeCell="H2" sqref="H2"/>
    </sheetView>
  </sheetViews>
  <sheetFormatPr defaultRowHeight="16.5" x14ac:dyDescent="0.3"/>
  <cols>
    <col min="1" max="1" width="52.125" style="25" customWidth="1"/>
    <col min="2" max="2" width="40.75" style="25" customWidth="1"/>
    <col min="3" max="7" width="13.75" style="25" customWidth="1"/>
    <col min="8" max="8" width="44.5" style="25" customWidth="1"/>
    <col min="9" max="9" width="9" style="25"/>
    <col min="10" max="10" width="10.125" style="25" customWidth="1"/>
    <col min="11" max="16384" width="9" style="25"/>
  </cols>
  <sheetData>
    <row r="1" spans="1:8" x14ac:dyDescent="0.3">
      <c r="A1" s="40" t="s">
        <v>243</v>
      </c>
    </row>
    <row r="2" spans="1:8" ht="26.25" x14ac:dyDescent="0.45">
      <c r="A2" s="56" t="s">
        <v>132</v>
      </c>
      <c r="B2" s="57"/>
      <c r="C2" s="57"/>
      <c r="D2" s="57"/>
      <c r="E2" s="57"/>
      <c r="F2" s="58"/>
      <c r="G2" s="36">
        <f>Table132730[[#Totals],[Reimbursement Amount Requested]]</f>
        <v>0</v>
      </c>
      <c r="H2" s="52"/>
    </row>
    <row r="3" spans="1:8" ht="17.25" customHeight="1" x14ac:dyDescent="0.3">
      <c r="A3" s="62" t="s">
        <v>130</v>
      </c>
      <c r="B3" s="63"/>
      <c r="C3" s="63"/>
      <c r="D3" s="63"/>
      <c r="E3" s="63"/>
      <c r="F3" s="63"/>
      <c r="G3" s="63"/>
      <c r="H3" s="52"/>
    </row>
    <row r="4" spans="1:8" ht="16.5" customHeight="1" x14ac:dyDescent="0.3">
      <c r="A4" s="64" t="s">
        <v>240</v>
      </c>
      <c r="B4" s="65"/>
      <c r="C4" s="65"/>
      <c r="D4" s="65"/>
      <c r="E4" s="65"/>
      <c r="F4" s="65"/>
      <c r="G4" s="66"/>
      <c r="H4" s="52"/>
    </row>
    <row r="5" spans="1:8" ht="16.5" customHeight="1" x14ac:dyDescent="0.3">
      <c r="A5" s="67"/>
      <c r="B5" s="68"/>
      <c r="C5" s="68"/>
      <c r="D5" s="68"/>
      <c r="E5" s="68"/>
      <c r="F5" s="68"/>
      <c r="G5" s="69"/>
      <c r="H5" s="52"/>
    </row>
    <row r="6" spans="1:8" ht="57" x14ac:dyDescent="0.3">
      <c r="A6" s="28" t="s">
        <v>139</v>
      </c>
      <c r="B6" s="28" t="s">
        <v>137</v>
      </c>
      <c r="C6" s="28" t="s">
        <v>134</v>
      </c>
      <c r="D6" s="28" t="s">
        <v>135</v>
      </c>
      <c r="E6" s="28" t="s">
        <v>131</v>
      </c>
      <c r="F6" s="28" t="s">
        <v>136</v>
      </c>
      <c r="G6" s="28" t="s">
        <v>133</v>
      </c>
      <c r="H6" s="28" t="s">
        <v>266</v>
      </c>
    </row>
    <row r="7" spans="1:8" x14ac:dyDescent="0.3">
      <c r="A7" s="26"/>
      <c r="B7" s="27"/>
      <c r="C7" s="33"/>
      <c r="D7" s="33"/>
      <c r="E7" s="33"/>
      <c r="F7" s="33"/>
      <c r="G7" s="38"/>
      <c r="H7" s="51"/>
    </row>
    <row r="8" spans="1:8" x14ac:dyDescent="0.3">
      <c r="A8" s="26"/>
      <c r="B8" s="27"/>
      <c r="C8" s="33"/>
      <c r="D8" s="33"/>
      <c r="E8" s="33"/>
      <c r="F8" s="33"/>
      <c r="G8" s="38"/>
      <c r="H8" s="51"/>
    </row>
    <row r="9" spans="1:8" x14ac:dyDescent="0.3">
      <c r="A9" s="26"/>
      <c r="B9" s="27"/>
      <c r="C9" s="33"/>
      <c r="D9" s="33"/>
      <c r="E9" s="33"/>
      <c r="F9" s="33"/>
      <c r="G9" s="38"/>
      <c r="H9" s="51"/>
    </row>
    <row r="10" spans="1:8" x14ac:dyDescent="0.3">
      <c r="A10" s="26"/>
      <c r="B10" s="27"/>
      <c r="C10" s="33"/>
      <c r="D10" s="33"/>
      <c r="E10" s="33"/>
      <c r="F10" s="33"/>
      <c r="G10" s="38"/>
      <c r="H10" s="51"/>
    </row>
    <row r="11" spans="1:8" x14ac:dyDescent="0.3">
      <c r="A11" s="26"/>
      <c r="B11" s="27"/>
      <c r="C11" s="33"/>
      <c r="D11" s="33"/>
      <c r="E11" s="33"/>
      <c r="F11" s="33"/>
      <c r="G11" s="38"/>
      <c r="H11" s="51"/>
    </row>
    <row r="12" spans="1:8" x14ac:dyDescent="0.3">
      <c r="A12" s="30"/>
      <c r="B12" s="32"/>
      <c r="C12" s="35">
        <f>SUM(Table132730['# of hours])</f>
        <v>0</v>
      </c>
      <c r="D12" s="35">
        <f>SUM(Table132730['# of people reached])</f>
        <v>0</v>
      </c>
      <c r="E12" s="35">
        <f>SUM(Table132730['# of participants])</f>
        <v>0</v>
      </c>
      <c r="F12" s="35">
        <f>SUBTOTAL(109,Table132730['# of items handed out])</f>
        <v>0</v>
      </c>
      <c r="G12" s="37">
        <f>SUBTOTAL(109,Table132730[Reimbursement Amount Requested])</f>
        <v>0</v>
      </c>
      <c r="H12" s="52"/>
    </row>
    <row r="13" spans="1:8" x14ac:dyDescent="0.3">
      <c r="H13" s="52"/>
    </row>
    <row r="14" spans="1:8" ht="26.25" x14ac:dyDescent="0.45">
      <c r="A14" s="56" t="s">
        <v>140</v>
      </c>
      <c r="B14" s="57"/>
      <c r="C14" s="57"/>
      <c r="D14" s="57"/>
      <c r="E14" s="57"/>
      <c r="F14" s="58"/>
      <c r="G14" s="36">
        <f>Table1326731[[#Totals],[Reimbursement Amount Requested]]</f>
        <v>0</v>
      </c>
      <c r="H14" s="52"/>
    </row>
    <row r="15" spans="1:8" ht="17.25" customHeight="1" x14ac:dyDescent="0.3">
      <c r="A15" s="59" t="s">
        <v>142</v>
      </c>
      <c r="B15" s="60"/>
      <c r="C15" s="60"/>
      <c r="D15" s="60"/>
      <c r="E15" s="60"/>
      <c r="F15" s="60"/>
      <c r="G15" s="60"/>
      <c r="H15" s="52"/>
    </row>
    <row r="16" spans="1:8" ht="16.5" customHeight="1" x14ac:dyDescent="0.3">
      <c r="A16" s="61" t="s">
        <v>141</v>
      </c>
      <c r="B16" s="61"/>
      <c r="C16" s="61"/>
      <c r="D16" s="61"/>
      <c r="E16" s="61"/>
      <c r="F16" s="61"/>
      <c r="G16" s="61"/>
      <c r="H16" s="52"/>
    </row>
    <row r="17" spans="1:8" ht="16.5" customHeight="1" x14ac:dyDescent="0.3">
      <c r="A17" s="61"/>
      <c r="B17" s="61"/>
      <c r="C17" s="61"/>
      <c r="D17" s="61"/>
      <c r="E17" s="61"/>
      <c r="F17" s="61"/>
      <c r="G17" s="61"/>
      <c r="H17" s="52"/>
    </row>
    <row r="18" spans="1:8" ht="57" x14ac:dyDescent="0.3">
      <c r="A18" s="28" t="s">
        <v>139</v>
      </c>
      <c r="B18" s="28" t="s">
        <v>137</v>
      </c>
      <c r="C18" s="28" t="s">
        <v>134</v>
      </c>
      <c r="D18" s="28" t="s">
        <v>135</v>
      </c>
      <c r="E18" s="28" t="s">
        <v>131</v>
      </c>
      <c r="F18" s="28" t="s">
        <v>136</v>
      </c>
      <c r="G18" s="28" t="s">
        <v>133</v>
      </c>
      <c r="H18" s="28" t="s">
        <v>266</v>
      </c>
    </row>
    <row r="19" spans="1:8" x14ac:dyDescent="0.3">
      <c r="A19" s="26"/>
      <c r="B19" s="27"/>
      <c r="C19" s="33"/>
      <c r="D19" s="33"/>
      <c r="E19" s="33"/>
      <c r="F19" s="33"/>
      <c r="G19" s="38"/>
      <c r="H19" s="51"/>
    </row>
    <row r="20" spans="1:8" x14ac:dyDescent="0.3">
      <c r="A20" s="26"/>
      <c r="B20" s="27"/>
      <c r="C20" s="33"/>
      <c r="D20" s="33"/>
      <c r="E20" s="33"/>
      <c r="F20" s="33"/>
      <c r="G20" s="38"/>
      <c r="H20" s="51"/>
    </row>
    <row r="21" spans="1:8" x14ac:dyDescent="0.3">
      <c r="A21" s="26"/>
      <c r="B21" s="27"/>
      <c r="C21" s="33"/>
      <c r="D21" s="33"/>
      <c r="E21" s="33"/>
      <c r="F21" s="33"/>
      <c r="G21" s="38"/>
      <c r="H21" s="51"/>
    </row>
    <row r="22" spans="1:8" x14ac:dyDescent="0.3">
      <c r="A22" s="26"/>
      <c r="B22" s="27"/>
      <c r="C22" s="33"/>
      <c r="D22" s="33"/>
      <c r="E22" s="33"/>
      <c r="F22" s="33"/>
      <c r="G22" s="38"/>
      <c r="H22" s="51"/>
    </row>
    <row r="23" spans="1:8" x14ac:dyDescent="0.3">
      <c r="A23" s="26"/>
      <c r="B23" s="27"/>
      <c r="C23" s="33"/>
      <c r="D23" s="33"/>
      <c r="E23" s="33"/>
      <c r="F23" s="33"/>
      <c r="G23" s="38"/>
      <c r="H23" s="51"/>
    </row>
    <row r="24" spans="1:8" x14ac:dyDescent="0.3">
      <c r="A24" s="26"/>
      <c r="B24" s="27"/>
      <c r="C24" s="33"/>
      <c r="D24" s="33"/>
      <c r="E24" s="33"/>
      <c r="F24" s="33"/>
      <c r="G24" s="38"/>
      <c r="H24" s="51"/>
    </row>
    <row r="25" spans="1:8" x14ac:dyDescent="0.3">
      <c r="A25" s="26"/>
      <c r="B25" s="27"/>
      <c r="C25" s="33"/>
      <c r="D25" s="33"/>
      <c r="E25" s="33"/>
      <c r="F25" s="33"/>
      <c r="G25" s="38"/>
      <c r="H25" s="51"/>
    </row>
    <row r="26" spans="1:8" x14ac:dyDescent="0.3">
      <c r="A26" s="26"/>
      <c r="B26" s="27"/>
      <c r="C26" s="33"/>
      <c r="D26" s="33"/>
      <c r="E26" s="33"/>
      <c r="F26" s="33"/>
      <c r="G26" s="38"/>
      <c r="H26" s="51"/>
    </row>
    <row r="27" spans="1:8" x14ac:dyDescent="0.3">
      <c r="A27" s="26"/>
      <c r="B27" s="27"/>
      <c r="C27" s="33"/>
      <c r="D27" s="33"/>
      <c r="E27" s="33"/>
      <c r="F27" s="33"/>
      <c r="G27" s="38"/>
      <c r="H27" s="51"/>
    </row>
    <row r="28" spans="1:8" x14ac:dyDescent="0.3">
      <c r="A28" s="26"/>
      <c r="B28" s="29"/>
      <c r="C28" s="34"/>
      <c r="D28" s="34"/>
      <c r="E28" s="34"/>
      <c r="F28" s="34"/>
      <c r="G28" s="38"/>
      <c r="H28" s="51"/>
    </row>
    <row r="29" spans="1:8" x14ac:dyDescent="0.3">
      <c r="A29" s="30"/>
      <c r="B29" s="32"/>
      <c r="C29" s="35">
        <f>SUM(Table1326731['# of hours])</f>
        <v>0</v>
      </c>
      <c r="D29" s="35">
        <f>SUM(Table1326731['# of people reached])</f>
        <v>0</v>
      </c>
      <c r="E29" s="35">
        <f>SUM(Table1326731['# of participants])</f>
        <v>0</v>
      </c>
      <c r="F29" s="35">
        <f>SUBTOTAL(109,Table1326731['# of items handed out])</f>
        <v>0</v>
      </c>
      <c r="G29" s="37">
        <f>SUBTOTAL(109,Table1326731[Reimbursement Amount Requested])</f>
        <v>0</v>
      </c>
      <c r="H29" s="52"/>
    </row>
    <row r="30" spans="1:8" x14ac:dyDescent="0.3">
      <c r="H30" s="52"/>
    </row>
    <row r="31" spans="1:8" ht="26.25" x14ac:dyDescent="0.45">
      <c r="A31" s="56" t="s">
        <v>143</v>
      </c>
      <c r="B31" s="57"/>
      <c r="C31" s="57"/>
      <c r="D31" s="57"/>
      <c r="E31" s="57"/>
      <c r="F31" s="58"/>
      <c r="G31" s="36">
        <f>Table13267732[[#Totals],[Reimbursement Amount Requested]]</f>
        <v>0</v>
      </c>
      <c r="H31" s="52"/>
    </row>
    <row r="32" spans="1:8" ht="17.25" customHeight="1" x14ac:dyDescent="0.3">
      <c r="A32" s="59" t="s">
        <v>144</v>
      </c>
      <c r="B32" s="60"/>
      <c r="C32" s="60"/>
      <c r="D32" s="60"/>
      <c r="E32" s="60"/>
      <c r="F32" s="60"/>
      <c r="G32" s="60"/>
      <c r="H32" s="52"/>
    </row>
    <row r="33" spans="1:8" ht="16.5" customHeight="1" x14ac:dyDescent="0.3">
      <c r="A33" s="61" t="s">
        <v>145</v>
      </c>
      <c r="B33" s="61"/>
      <c r="C33" s="61"/>
      <c r="D33" s="61"/>
      <c r="E33" s="61"/>
      <c r="F33" s="61"/>
      <c r="G33" s="61"/>
      <c r="H33" s="52"/>
    </row>
    <row r="34" spans="1:8" ht="16.5" customHeight="1" x14ac:dyDescent="0.3">
      <c r="A34" s="61"/>
      <c r="B34" s="61"/>
      <c r="C34" s="61"/>
      <c r="D34" s="61"/>
      <c r="E34" s="61"/>
      <c r="F34" s="61"/>
      <c r="G34" s="61"/>
      <c r="H34" s="52"/>
    </row>
    <row r="35" spans="1:8" ht="57" x14ac:dyDescent="0.3">
      <c r="A35" s="28" t="s">
        <v>139</v>
      </c>
      <c r="B35" s="28" t="s">
        <v>137</v>
      </c>
      <c r="C35" s="28" t="s">
        <v>134</v>
      </c>
      <c r="D35" s="28" t="s">
        <v>135</v>
      </c>
      <c r="E35" s="28" t="s">
        <v>131</v>
      </c>
      <c r="F35" s="28" t="s">
        <v>136</v>
      </c>
      <c r="G35" s="28" t="s">
        <v>133</v>
      </c>
      <c r="H35" s="28" t="s">
        <v>266</v>
      </c>
    </row>
    <row r="36" spans="1:8" x14ac:dyDescent="0.3">
      <c r="A36" s="26"/>
      <c r="B36" s="27"/>
      <c r="C36" s="33"/>
      <c r="D36" s="33"/>
      <c r="E36" s="33"/>
      <c r="F36" s="33"/>
      <c r="G36" s="38"/>
      <c r="H36" s="51"/>
    </row>
    <row r="37" spans="1:8" x14ac:dyDescent="0.3">
      <c r="A37" s="26"/>
      <c r="B37" s="27"/>
      <c r="C37" s="33"/>
      <c r="D37" s="33"/>
      <c r="E37" s="33"/>
      <c r="F37" s="33"/>
      <c r="G37" s="38"/>
      <c r="H37" s="51"/>
    </row>
    <row r="38" spans="1:8" x14ac:dyDescent="0.3">
      <c r="A38" s="26"/>
      <c r="B38" s="27"/>
      <c r="C38" s="33"/>
      <c r="D38" s="33"/>
      <c r="E38" s="33"/>
      <c r="F38" s="33"/>
      <c r="G38" s="38"/>
      <c r="H38" s="51"/>
    </row>
    <row r="39" spans="1:8" x14ac:dyDescent="0.3">
      <c r="A39" s="26"/>
      <c r="B39" s="27"/>
      <c r="C39" s="33"/>
      <c r="D39" s="33"/>
      <c r="E39" s="33"/>
      <c r="F39" s="33"/>
      <c r="G39" s="38"/>
      <c r="H39" s="51"/>
    </row>
    <row r="40" spans="1:8" x14ac:dyDescent="0.3">
      <c r="A40" s="26"/>
      <c r="B40" s="27"/>
      <c r="C40" s="33"/>
      <c r="D40" s="33"/>
      <c r="E40" s="33"/>
      <c r="F40" s="33"/>
      <c r="G40" s="38"/>
      <c r="H40" s="51"/>
    </row>
    <row r="41" spans="1:8" x14ac:dyDescent="0.3">
      <c r="A41" s="30"/>
      <c r="B41" s="32"/>
      <c r="C41" s="35">
        <f>SUM(Table13267732['# of hours])</f>
        <v>0</v>
      </c>
      <c r="D41" s="35">
        <f>SUM(Table13267732['# of people reached])</f>
        <v>0</v>
      </c>
      <c r="E41" s="35">
        <f>SUM(Table13267732['# of participants])</f>
        <v>0</v>
      </c>
      <c r="F41" s="35">
        <f>SUBTOTAL(109,Table13267732['# of items handed out])</f>
        <v>0</v>
      </c>
      <c r="G41" s="37">
        <f>SUBTOTAL(109,Table13267732[Reimbursement Amount Requested])</f>
        <v>0</v>
      </c>
      <c r="H41" s="52"/>
    </row>
    <row r="42" spans="1:8" x14ac:dyDescent="0.3">
      <c r="H42" s="52"/>
    </row>
    <row r="43" spans="1:8" ht="26.25" x14ac:dyDescent="0.45">
      <c r="A43" s="56" t="s">
        <v>146</v>
      </c>
      <c r="B43" s="57"/>
      <c r="C43" s="57"/>
      <c r="D43" s="57"/>
      <c r="E43" s="57"/>
      <c r="F43" s="58"/>
      <c r="G43" s="36">
        <f>Table132678733[[#Totals],[Reimbursement Amount Requested]]</f>
        <v>0</v>
      </c>
      <c r="H43" s="52"/>
    </row>
    <row r="44" spans="1:8" ht="17.25" customHeight="1" x14ac:dyDescent="0.3">
      <c r="A44" s="59" t="s">
        <v>147</v>
      </c>
      <c r="B44" s="60"/>
      <c r="C44" s="60"/>
      <c r="D44" s="60"/>
      <c r="E44" s="60"/>
      <c r="F44" s="60"/>
      <c r="G44" s="60"/>
      <c r="H44" s="52"/>
    </row>
    <row r="45" spans="1:8" ht="16.5" customHeight="1" x14ac:dyDescent="0.3">
      <c r="A45" s="61" t="s">
        <v>148</v>
      </c>
      <c r="B45" s="61"/>
      <c r="C45" s="61"/>
      <c r="D45" s="61"/>
      <c r="E45" s="61"/>
      <c r="F45" s="61"/>
      <c r="G45" s="61"/>
      <c r="H45" s="52"/>
    </row>
    <row r="46" spans="1:8" ht="16.5" customHeight="1" x14ac:dyDescent="0.3">
      <c r="A46" s="61"/>
      <c r="B46" s="61"/>
      <c r="C46" s="61"/>
      <c r="D46" s="61"/>
      <c r="E46" s="61"/>
      <c r="F46" s="61"/>
      <c r="G46" s="61"/>
      <c r="H46" s="52"/>
    </row>
    <row r="47" spans="1:8" ht="57" x14ac:dyDescent="0.3">
      <c r="A47" s="28" t="s">
        <v>139</v>
      </c>
      <c r="B47" s="28" t="s">
        <v>137</v>
      </c>
      <c r="C47" s="28" t="s">
        <v>134</v>
      </c>
      <c r="D47" s="28" t="s">
        <v>135</v>
      </c>
      <c r="E47" s="28" t="s">
        <v>131</v>
      </c>
      <c r="F47" s="28" t="s">
        <v>136</v>
      </c>
      <c r="G47" s="28" t="s">
        <v>133</v>
      </c>
      <c r="H47" s="28" t="s">
        <v>266</v>
      </c>
    </row>
    <row r="48" spans="1:8" x14ac:dyDescent="0.3">
      <c r="B48" s="27"/>
      <c r="C48" s="33"/>
      <c r="D48" s="33"/>
      <c r="E48" s="33"/>
      <c r="F48" s="33"/>
      <c r="G48" s="38"/>
      <c r="H48" s="51"/>
    </row>
    <row r="49" spans="1:8" x14ac:dyDescent="0.3">
      <c r="A49" s="26"/>
      <c r="B49" s="27"/>
      <c r="C49" s="33"/>
      <c r="D49" s="33"/>
      <c r="E49" s="33"/>
      <c r="F49" s="33"/>
      <c r="G49" s="38"/>
      <c r="H49" s="51"/>
    </row>
    <row r="50" spans="1:8" x14ac:dyDescent="0.3">
      <c r="A50" s="26"/>
      <c r="B50" s="27"/>
      <c r="C50" s="33"/>
      <c r="D50" s="33"/>
      <c r="E50" s="33"/>
      <c r="F50" s="33"/>
      <c r="G50" s="38"/>
      <c r="H50" s="51"/>
    </row>
    <row r="51" spans="1:8" x14ac:dyDescent="0.3">
      <c r="A51" s="26"/>
      <c r="B51" s="27"/>
      <c r="C51" s="33"/>
      <c r="D51" s="33"/>
      <c r="E51" s="33"/>
      <c r="F51" s="33"/>
      <c r="G51" s="38"/>
      <c r="H51" s="51"/>
    </row>
    <row r="52" spans="1:8" x14ac:dyDescent="0.3">
      <c r="A52" s="26"/>
      <c r="B52" s="27"/>
      <c r="C52" s="33"/>
      <c r="D52" s="33"/>
      <c r="E52" s="33"/>
      <c r="F52" s="33"/>
      <c r="G52" s="38"/>
      <c r="H52" s="51"/>
    </row>
    <row r="53" spans="1:8" x14ac:dyDescent="0.3">
      <c r="A53" s="30"/>
      <c r="B53" s="32"/>
      <c r="C53" s="35">
        <f>SUM(Table132678733['# of hours])</f>
        <v>0</v>
      </c>
      <c r="D53" s="35">
        <f>SUM(Table132678733['# of people reached])</f>
        <v>0</v>
      </c>
      <c r="E53" s="35">
        <f>SUM(Table132678733['# of participants])</f>
        <v>0</v>
      </c>
      <c r="F53" s="35">
        <f>SUBTOTAL(109,Table132678733['# of items handed out])</f>
        <v>0</v>
      </c>
      <c r="G53" s="37">
        <f>SUBTOTAL(109,Table132678733[Reimbursement Amount Requested])</f>
        <v>0</v>
      </c>
      <c r="H53" s="52"/>
    </row>
    <row r="54" spans="1:8" x14ac:dyDescent="0.3">
      <c r="H54" s="52"/>
    </row>
    <row r="55" spans="1:8" ht="26.25" x14ac:dyDescent="0.45">
      <c r="A55" s="56" t="s">
        <v>181</v>
      </c>
      <c r="B55" s="57"/>
      <c r="C55" s="57"/>
      <c r="D55" s="57"/>
      <c r="E55" s="57"/>
      <c r="F55" s="58"/>
      <c r="G55" s="36">
        <f>Table1326789734[[#Totals],[Reimbursement Amount Requested]]</f>
        <v>0</v>
      </c>
      <c r="H55" s="52"/>
    </row>
    <row r="56" spans="1:8" ht="17.25" customHeight="1" x14ac:dyDescent="0.3">
      <c r="A56" s="59" t="s">
        <v>182</v>
      </c>
      <c r="B56" s="60"/>
      <c r="C56" s="60"/>
      <c r="D56" s="60"/>
      <c r="E56" s="60"/>
      <c r="F56" s="60"/>
      <c r="G56" s="60"/>
      <c r="H56" s="52"/>
    </row>
    <row r="57" spans="1:8" ht="16.5" customHeight="1" x14ac:dyDescent="0.3">
      <c r="A57" s="61" t="s">
        <v>183</v>
      </c>
      <c r="B57" s="61"/>
      <c r="C57" s="61"/>
      <c r="D57" s="61"/>
      <c r="E57" s="61"/>
      <c r="F57" s="61"/>
      <c r="G57" s="61"/>
      <c r="H57" s="52"/>
    </row>
    <row r="58" spans="1:8" ht="16.5" customHeight="1" x14ac:dyDescent="0.3">
      <c r="A58" s="61"/>
      <c r="B58" s="61"/>
      <c r="C58" s="61"/>
      <c r="D58" s="61"/>
      <c r="E58" s="61"/>
      <c r="F58" s="61"/>
      <c r="G58" s="61"/>
      <c r="H58" s="52"/>
    </row>
    <row r="59" spans="1:8" ht="57" x14ac:dyDescent="0.3">
      <c r="A59" s="28" t="s">
        <v>139</v>
      </c>
      <c r="B59" s="28" t="s">
        <v>137</v>
      </c>
      <c r="C59" s="28" t="s">
        <v>134</v>
      </c>
      <c r="D59" s="28" t="s">
        <v>135</v>
      </c>
      <c r="E59" s="28" t="s">
        <v>131</v>
      </c>
      <c r="F59" s="28" t="s">
        <v>136</v>
      </c>
      <c r="G59" s="28" t="s">
        <v>133</v>
      </c>
      <c r="H59" s="28" t="s">
        <v>266</v>
      </c>
    </row>
    <row r="60" spans="1:8" x14ac:dyDescent="0.3">
      <c r="A60" s="26"/>
      <c r="B60" s="27"/>
      <c r="C60" s="33"/>
      <c r="D60" s="33"/>
      <c r="E60" s="33"/>
      <c r="F60" s="33"/>
      <c r="G60" s="38"/>
      <c r="H60" s="51"/>
    </row>
    <row r="61" spans="1:8" x14ac:dyDescent="0.3">
      <c r="A61" s="26"/>
      <c r="B61" s="27"/>
      <c r="C61" s="33"/>
      <c r="D61" s="33"/>
      <c r="E61" s="33"/>
      <c r="F61" s="33"/>
      <c r="G61" s="38"/>
      <c r="H61" s="51"/>
    </row>
    <row r="62" spans="1:8" x14ac:dyDescent="0.3">
      <c r="A62" s="30"/>
      <c r="B62" s="32"/>
      <c r="C62" s="35">
        <f>SUM(Table1326789734['# of hours])</f>
        <v>0</v>
      </c>
      <c r="D62" s="35">
        <f>SUM(Table1326789734['# of people reached])</f>
        <v>0</v>
      </c>
      <c r="E62" s="35">
        <f>SUM(Table1326789734['# of participants])</f>
        <v>0</v>
      </c>
      <c r="F62" s="35">
        <f>SUBTOTAL(109,Table1326789734['# of items handed out])</f>
        <v>0</v>
      </c>
      <c r="G62" s="31">
        <f>SUBTOTAL(109,Table1326789734[Reimbursement Amount Requested])</f>
        <v>0</v>
      </c>
      <c r="H62" s="52"/>
    </row>
    <row r="63" spans="1:8" x14ac:dyDescent="0.3">
      <c r="H63" s="52"/>
    </row>
    <row r="64" spans="1:8" ht="26.25" x14ac:dyDescent="0.45">
      <c r="A64" s="56" t="s">
        <v>186</v>
      </c>
      <c r="B64" s="57"/>
      <c r="C64" s="57"/>
      <c r="D64" s="57"/>
      <c r="E64" s="57"/>
      <c r="F64" s="58"/>
      <c r="G64" s="36">
        <f>Table13267810735[[#Totals],[Reimbursement Amount Requested]]</f>
        <v>0</v>
      </c>
      <c r="H64" s="52"/>
    </row>
    <row r="65" spans="1:8" ht="17.25" customHeight="1" x14ac:dyDescent="0.3">
      <c r="A65" s="59" t="s">
        <v>184</v>
      </c>
      <c r="B65" s="60"/>
      <c r="C65" s="60"/>
      <c r="D65" s="60"/>
      <c r="E65" s="60"/>
      <c r="F65" s="60"/>
      <c r="G65" s="60"/>
      <c r="H65" s="52"/>
    </row>
    <row r="66" spans="1:8" ht="16.5" customHeight="1" x14ac:dyDescent="0.3">
      <c r="A66" s="61" t="s">
        <v>185</v>
      </c>
      <c r="B66" s="61"/>
      <c r="C66" s="61"/>
      <c r="D66" s="61"/>
      <c r="E66" s="61"/>
      <c r="F66" s="61"/>
      <c r="G66" s="61"/>
      <c r="H66" s="52"/>
    </row>
    <row r="67" spans="1:8" ht="16.5" customHeight="1" x14ac:dyDescent="0.3">
      <c r="A67" s="61"/>
      <c r="B67" s="61"/>
      <c r="C67" s="61"/>
      <c r="D67" s="61"/>
      <c r="E67" s="61"/>
      <c r="F67" s="61"/>
      <c r="G67" s="61"/>
      <c r="H67" s="52"/>
    </row>
    <row r="68" spans="1:8" ht="57" x14ac:dyDescent="0.3">
      <c r="A68" s="28" t="s">
        <v>139</v>
      </c>
      <c r="B68" s="28" t="s">
        <v>137</v>
      </c>
      <c r="C68" s="28" t="s">
        <v>134</v>
      </c>
      <c r="D68" s="28" t="s">
        <v>135</v>
      </c>
      <c r="E68" s="28" t="s">
        <v>131</v>
      </c>
      <c r="F68" s="28" t="s">
        <v>136</v>
      </c>
      <c r="G68" s="28" t="s">
        <v>133</v>
      </c>
      <c r="H68" s="28" t="s">
        <v>266</v>
      </c>
    </row>
    <row r="69" spans="1:8" x14ac:dyDescent="0.3">
      <c r="A69" s="26"/>
      <c r="B69" s="27"/>
      <c r="C69" s="33"/>
      <c r="D69" s="33"/>
      <c r="E69" s="33"/>
      <c r="F69" s="33"/>
      <c r="G69" s="38"/>
      <c r="H69" s="51"/>
    </row>
    <row r="70" spans="1:8" x14ac:dyDescent="0.3">
      <c r="A70" s="26"/>
      <c r="B70" s="27"/>
      <c r="C70" s="33"/>
      <c r="D70" s="33"/>
      <c r="E70" s="33"/>
      <c r="F70" s="33"/>
      <c r="G70" s="38"/>
      <c r="H70" s="51"/>
    </row>
    <row r="71" spans="1:8" x14ac:dyDescent="0.3">
      <c r="A71" s="26"/>
      <c r="B71" s="27"/>
      <c r="C71" s="33"/>
      <c r="D71" s="33"/>
      <c r="E71" s="33"/>
      <c r="F71" s="33"/>
      <c r="G71" s="38"/>
      <c r="H71" s="51"/>
    </row>
    <row r="72" spans="1:8" x14ac:dyDescent="0.3">
      <c r="A72" s="26"/>
      <c r="B72" s="27"/>
      <c r="C72" s="33"/>
      <c r="D72" s="33"/>
      <c r="E72" s="33"/>
      <c r="F72" s="33"/>
      <c r="G72" s="38"/>
      <c r="H72" s="51"/>
    </row>
    <row r="73" spans="1:8" x14ac:dyDescent="0.3">
      <c r="A73" s="26"/>
      <c r="B73" s="27"/>
      <c r="C73" s="33"/>
      <c r="D73" s="33"/>
      <c r="E73" s="33"/>
      <c r="F73" s="33"/>
      <c r="G73" s="38"/>
      <c r="H73" s="51"/>
    </row>
    <row r="74" spans="1:8" x14ac:dyDescent="0.3">
      <c r="A74" s="30"/>
      <c r="B74" s="32"/>
      <c r="C74" s="35">
        <f>SUM(Table13267810735['# of hours])</f>
        <v>0</v>
      </c>
      <c r="D74" s="35">
        <f>SUM(Table13267810735['# of people reached])</f>
        <v>0</v>
      </c>
      <c r="E74" s="35">
        <f>SUM(Table13267810735['# of participants])</f>
        <v>0</v>
      </c>
      <c r="F74" s="35">
        <f>SUBTOTAL(109,Table13267810735['# of items handed out])</f>
        <v>0</v>
      </c>
      <c r="G74" s="37">
        <f>SUBTOTAL(109,Table13267810735[Reimbursement Amount Requested])</f>
        <v>0</v>
      </c>
      <c r="H74" s="52"/>
    </row>
    <row r="75" spans="1:8" x14ac:dyDescent="0.3">
      <c r="H75" s="52"/>
    </row>
    <row r="76" spans="1:8" ht="26.25" x14ac:dyDescent="0.45">
      <c r="A76" s="56" t="s">
        <v>187</v>
      </c>
      <c r="B76" s="57"/>
      <c r="C76" s="57"/>
      <c r="D76" s="57"/>
      <c r="E76" s="57"/>
      <c r="F76" s="58"/>
      <c r="G76" s="36">
        <f>Table1326781011736[[#Totals],[Reimbursement Amount Requested]]</f>
        <v>0</v>
      </c>
      <c r="H76" s="52"/>
    </row>
    <row r="77" spans="1:8" ht="17.25" customHeight="1" x14ac:dyDescent="0.3">
      <c r="A77" s="59" t="s">
        <v>142</v>
      </c>
      <c r="B77" s="60"/>
      <c r="C77" s="60"/>
      <c r="D77" s="60"/>
      <c r="E77" s="60"/>
      <c r="F77" s="60"/>
      <c r="G77" s="60"/>
      <c r="H77" s="52"/>
    </row>
    <row r="78" spans="1:8" ht="16.5" customHeight="1" x14ac:dyDescent="0.3">
      <c r="A78" s="61" t="s">
        <v>188</v>
      </c>
      <c r="B78" s="61"/>
      <c r="C78" s="61"/>
      <c r="D78" s="61"/>
      <c r="E78" s="61"/>
      <c r="F78" s="61"/>
      <c r="G78" s="61"/>
      <c r="H78" s="52"/>
    </row>
    <row r="79" spans="1:8" ht="16.5" customHeight="1" x14ac:dyDescent="0.3">
      <c r="A79" s="61"/>
      <c r="B79" s="61"/>
      <c r="C79" s="61"/>
      <c r="D79" s="61"/>
      <c r="E79" s="61"/>
      <c r="F79" s="61"/>
      <c r="G79" s="61"/>
      <c r="H79" s="52"/>
    </row>
    <row r="80" spans="1:8" ht="57" x14ac:dyDescent="0.3">
      <c r="A80" s="28" t="s">
        <v>139</v>
      </c>
      <c r="B80" s="28" t="s">
        <v>137</v>
      </c>
      <c r="C80" s="28" t="s">
        <v>134</v>
      </c>
      <c r="D80" s="28" t="s">
        <v>135</v>
      </c>
      <c r="E80" s="28" t="s">
        <v>131</v>
      </c>
      <c r="F80" s="28" t="s">
        <v>136</v>
      </c>
      <c r="G80" s="28" t="s">
        <v>133</v>
      </c>
      <c r="H80" s="28" t="s">
        <v>266</v>
      </c>
    </row>
    <row r="81" spans="1:8" x14ac:dyDescent="0.3">
      <c r="A81" s="26"/>
      <c r="B81" s="27"/>
      <c r="C81" s="33"/>
      <c r="D81" s="33"/>
      <c r="E81" s="33"/>
      <c r="F81" s="33"/>
      <c r="G81" s="38"/>
      <c r="H81" s="51"/>
    </row>
    <row r="82" spans="1:8" x14ac:dyDescent="0.3">
      <c r="A82" s="26"/>
      <c r="B82" s="27"/>
      <c r="C82" s="33"/>
      <c r="D82" s="33"/>
      <c r="E82" s="33"/>
      <c r="F82" s="33"/>
      <c r="G82" s="38"/>
      <c r="H82" s="51"/>
    </row>
    <row r="83" spans="1:8" x14ac:dyDescent="0.3">
      <c r="A83" s="26"/>
      <c r="B83" s="27"/>
      <c r="C83" s="33"/>
      <c r="D83" s="33"/>
      <c r="E83" s="33"/>
      <c r="F83" s="33"/>
      <c r="G83" s="38"/>
      <c r="H83" s="51"/>
    </row>
    <row r="84" spans="1:8" x14ac:dyDescent="0.3">
      <c r="A84" s="26"/>
      <c r="B84" s="27"/>
      <c r="C84" s="33"/>
      <c r="D84" s="33"/>
      <c r="E84" s="33"/>
      <c r="F84" s="33"/>
      <c r="G84" s="38"/>
      <c r="H84" s="51"/>
    </row>
    <row r="85" spans="1:8" x14ac:dyDescent="0.3">
      <c r="A85" s="26"/>
      <c r="B85" s="27"/>
      <c r="C85" s="33"/>
      <c r="D85" s="33"/>
      <c r="E85" s="33"/>
      <c r="F85" s="33"/>
      <c r="G85" s="38"/>
      <c r="H85" s="51"/>
    </row>
    <row r="86" spans="1:8" x14ac:dyDescent="0.3">
      <c r="A86" s="30"/>
      <c r="B86" s="32"/>
      <c r="C86" s="35">
        <f>SUM(Table1326781011736['# of hours])</f>
        <v>0</v>
      </c>
      <c r="D86" s="35">
        <f>SUM(Table1326781011736['# of people reached])</f>
        <v>0</v>
      </c>
      <c r="E86" s="35">
        <f>SUM(Table1326781011736['# of participants])</f>
        <v>0</v>
      </c>
      <c r="F86" s="35">
        <f>SUBTOTAL(109,Table1326781011736['# of items handed out])</f>
        <v>0</v>
      </c>
      <c r="G86" s="37">
        <f>SUBTOTAL(109,Table1326781011736[Reimbursement Amount Requested])</f>
        <v>0</v>
      </c>
      <c r="H86" s="52"/>
    </row>
    <row r="87" spans="1:8" x14ac:dyDescent="0.3">
      <c r="H87" s="52"/>
    </row>
    <row r="88" spans="1:8" ht="26.25" x14ac:dyDescent="0.45">
      <c r="A88" s="56" t="s">
        <v>189</v>
      </c>
      <c r="B88" s="57"/>
      <c r="C88" s="57"/>
      <c r="D88" s="57"/>
      <c r="E88" s="57"/>
      <c r="F88" s="58"/>
      <c r="G88" s="36">
        <f>Table132678101112737[[#Totals],[Reimbursement Amount Requested]]</f>
        <v>0</v>
      </c>
      <c r="H88" s="52"/>
    </row>
    <row r="89" spans="1:8" ht="17.25" customHeight="1" x14ac:dyDescent="0.3">
      <c r="A89" s="59" t="s">
        <v>190</v>
      </c>
      <c r="B89" s="60"/>
      <c r="C89" s="60"/>
      <c r="D89" s="60"/>
      <c r="E89" s="60"/>
      <c r="F89" s="60"/>
      <c r="G89" s="60"/>
      <c r="H89" s="52"/>
    </row>
    <row r="90" spans="1:8" ht="16.5" customHeight="1" x14ac:dyDescent="0.3">
      <c r="A90" s="61" t="s">
        <v>191</v>
      </c>
      <c r="B90" s="61"/>
      <c r="C90" s="61"/>
      <c r="D90" s="61"/>
      <c r="E90" s="61"/>
      <c r="F90" s="61"/>
      <c r="G90" s="61"/>
      <c r="H90" s="52"/>
    </row>
    <row r="91" spans="1:8" ht="16.5" customHeight="1" x14ac:dyDescent="0.3">
      <c r="A91" s="61"/>
      <c r="B91" s="61"/>
      <c r="C91" s="61"/>
      <c r="D91" s="61"/>
      <c r="E91" s="61"/>
      <c r="F91" s="61"/>
      <c r="G91" s="61"/>
      <c r="H91" s="52"/>
    </row>
    <row r="92" spans="1:8" ht="57" x14ac:dyDescent="0.3">
      <c r="A92" s="28" t="s">
        <v>139</v>
      </c>
      <c r="B92" s="28" t="s">
        <v>137</v>
      </c>
      <c r="C92" s="28" t="s">
        <v>134</v>
      </c>
      <c r="D92" s="28" t="s">
        <v>135</v>
      </c>
      <c r="E92" s="28" t="s">
        <v>131</v>
      </c>
      <c r="F92" s="28" t="s">
        <v>136</v>
      </c>
      <c r="G92" s="28" t="s">
        <v>133</v>
      </c>
      <c r="H92" s="28" t="s">
        <v>266</v>
      </c>
    </row>
    <row r="93" spans="1:8" x14ac:dyDescent="0.3">
      <c r="A93" s="26"/>
      <c r="B93" s="27"/>
      <c r="C93" s="33"/>
      <c r="D93" s="33"/>
      <c r="E93" s="33"/>
      <c r="F93" s="33"/>
      <c r="G93" s="38"/>
      <c r="H93" s="51"/>
    </row>
    <row r="94" spans="1:8" x14ac:dyDescent="0.3">
      <c r="A94" s="26"/>
      <c r="B94" s="27"/>
      <c r="C94" s="33"/>
      <c r="D94" s="33"/>
      <c r="E94" s="33"/>
      <c r="F94" s="33"/>
      <c r="G94" s="38"/>
      <c r="H94" s="51"/>
    </row>
    <row r="95" spans="1:8" x14ac:dyDescent="0.3">
      <c r="A95" s="26"/>
      <c r="B95" s="27"/>
      <c r="C95" s="33"/>
      <c r="D95" s="33"/>
      <c r="E95" s="33"/>
      <c r="F95" s="33"/>
      <c r="G95" s="38"/>
      <c r="H95" s="51"/>
    </row>
    <row r="96" spans="1:8" x14ac:dyDescent="0.3">
      <c r="A96" s="26"/>
      <c r="B96" s="27"/>
      <c r="C96" s="33"/>
      <c r="D96" s="33"/>
      <c r="E96" s="33"/>
      <c r="F96" s="33"/>
      <c r="G96" s="38"/>
      <c r="H96" s="51"/>
    </row>
    <row r="97" spans="1:8" x14ac:dyDescent="0.3">
      <c r="A97" s="26"/>
      <c r="B97" s="27"/>
      <c r="C97" s="33"/>
      <c r="D97" s="33"/>
      <c r="E97" s="33"/>
      <c r="F97" s="33"/>
      <c r="G97" s="38"/>
      <c r="H97" s="51"/>
    </row>
    <row r="98" spans="1:8" x14ac:dyDescent="0.3">
      <c r="A98" s="30"/>
      <c r="B98" s="32"/>
      <c r="C98" s="35">
        <f>SUM(Table132678101112737['# of hours])</f>
        <v>0</v>
      </c>
      <c r="D98" s="35">
        <f>SUM(Table132678101112737['# of people reached])</f>
        <v>0</v>
      </c>
      <c r="E98" s="35">
        <f>SUM(Table132678101112737['# of participants])</f>
        <v>0</v>
      </c>
      <c r="F98" s="35">
        <f>SUBTOTAL(109,Table132678101112737['# of items handed out])</f>
        <v>0</v>
      </c>
      <c r="G98" s="37">
        <f>SUBTOTAL(109,Table132678101112737[Reimbursement Amount Requested])</f>
        <v>0</v>
      </c>
      <c r="H98" s="51"/>
    </row>
    <row r="99" spans="1:8" ht="17.25" thickBot="1" x14ac:dyDescent="0.35">
      <c r="H99" s="52"/>
    </row>
    <row r="100" spans="1:8" ht="27" thickBot="1" x14ac:dyDescent="0.5">
      <c r="A100" s="53" t="s">
        <v>192</v>
      </c>
      <c r="B100" s="54"/>
      <c r="C100" s="54"/>
      <c r="D100" s="54"/>
      <c r="E100" s="54"/>
      <c r="F100" s="55"/>
      <c r="G100" s="39">
        <f>SUM(G2,G14,G31,G43,G55,G64,G76,G88)</f>
        <v>0</v>
      </c>
      <c r="H100" s="52"/>
    </row>
  </sheetData>
  <mergeCells count="25">
    <mergeCell ref="A100:F100"/>
    <mergeCell ref="A76:F76"/>
    <mergeCell ref="A77:G77"/>
    <mergeCell ref="A78:G79"/>
    <mergeCell ref="A88:F88"/>
    <mergeCell ref="A89:G89"/>
    <mergeCell ref="A90:G91"/>
    <mergeCell ref="A66:G67"/>
    <mergeCell ref="A31:F31"/>
    <mergeCell ref="A32:G32"/>
    <mergeCell ref="A33:G34"/>
    <mergeCell ref="A43:F43"/>
    <mergeCell ref="A44:G44"/>
    <mergeCell ref="A45:G46"/>
    <mergeCell ref="A55:F55"/>
    <mergeCell ref="A56:G56"/>
    <mergeCell ref="A57:G58"/>
    <mergeCell ref="A64:F64"/>
    <mergeCell ref="A65:G65"/>
    <mergeCell ref="A16:G17"/>
    <mergeCell ref="A2:F2"/>
    <mergeCell ref="A3:G3"/>
    <mergeCell ref="A4:G5"/>
    <mergeCell ref="A14:F14"/>
    <mergeCell ref="A15:G15"/>
  </mergeCells>
  <dataValidations count="1">
    <dataValidation type="list" allowBlank="1" showInputMessage="1" sqref="H7:H11 H19:H28 H36:H40 H48:H52 H60:H61 H69:H73 H81:H85 H93:H97" xr:uid="{AE33DFF5-C882-47D7-900D-B4DD33E100E1}">
      <formula1>CSAPcodes</formula1>
    </dataValidation>
  </dataValidations>
  <pageMargins left="0.34708333333333302" right="0.230104166666667" top="0.75" bottom="0.25" header="0.3" footer="0.3"/>
  <pageSetup scale="47" fitToHeight="0" orientation="portrait" horizontalDpi="1200" verticalDpi="1200" r:id="rId1"/>
  <headerFooter>
    <oddHeader>&amp;L&amp;F</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8">
        <x14:dataValidation type="list" allowBlank="1" showInputMessage="1" showErrorMessage="1" xr:uid="{61275555-7220-4EF4-99C1-956F38F67C1F}">
          <x14:formula1>
            <xm:f>Activities!$A$62:$A$84</xm:f>
          </x14:formula1>
          <xm:sqref>A49:A52</xm:sqref>
        </x14:dataValidation>
        <x14:dataValidation type="list" allowBlank="1" showInputMessage="1" showErrorMessage="1" xr:uid="{38A5CDE9-2A0C-4A0B-8E90-9653FF30C8CE}">
          <x14:formula1>
            <xm:f>Activities!$A$112:$A$126</xm:f>
          </x14:formula1>
          <xm:sqref>A93:A97</xm:sqref>
        </x14:dataValidation>
        <x14:dataValidation type="list" allowBlank="1" showInputMessage="1" showErrorMessage="1" xr:uid="{580D0B34-3DBC-4FE9-87B9-AFA929E4C627}">
          <x14:formula1>
            <xm:f>Activities!$A$103:$A$109</xm:f>
          </x14:formula1>
          <xm:sqref>A81:A85</xm:sqref>
        </x14:dataValidation>
        <x14:dataValidation type="list" allowBlank="1" showInputMessage="1" showErrorMessage="1" xr:uid="{53AEC746-9E62-42CE-8D47-1B7CBCFADB8C}">
          <x14:formula1>
            <xm:f>Activities!$A$90:$A$100</xm:f>
          </x14:formula1>
          <xm:sqref>A69:A73</xm:sqref>
        </x14:dataValidation>
        <x14:dataValidation type="list" allowBlank="1" showInputMessage="1" showErrorMessage="1" xr:uid="{9C4ECC02-3AD6-4EE8-B31A-65ECC098DAE2}">
          <x14:formula1>
            <xm:f>Activities!$A$87</xm:f>
          </x14:formula1>
          <xm:sqref>A60:A61</xm:sqref>
        </x14:dataValidation>
        <x14:dataValidation type="list" allowBlank="1" showInputMessage="1" showErrorMessage="1" xr:uid="{A6D7A6CC-3142-4C57-B581-81FD9A0D80DC}">
          <x14:formula1>
            <xm:f>Activities!$A$30:$A$46</xm:f>
          </x14:formula1>
          <xm:sqref>A19:A28</xm:sqref>
        </x14:dataValidation>
        <x14:dataValidation type="list" allowBlank="1" showInputMessage="1" showErrorMessage="1" xr:uid="{4410C5C3-1165-489B-B60A-6D92B1580776}">
          <x14:formula1>
            <xm:f>Activities!$A$49:$A$59</xm:f>
          </x14:formula1>
          <xm:sqref>A36:A40</xm:sqref>
        </x14:dataValidation>
        <x14:dataValidation type="list" allowBlank="1" showInputMessage="1" showErrorMessage="1" xr:uid="{6567F44E-7EBA-48C5-981A-6367230FC13D}">
          <x14:formula1>
            <xm:f>Activities!$A$4:$A$27</xm:f>
          </x14:formula1>
          <xm:sqref>A7:A11</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EC649-31D0-4A6E-A957-5F706F0508A2}">
  <sheetPr>
    <tabColor rgb="FFD34727"/>
  </sheetPr>
  <dimension ref="A1:H22"/>
  <sheetViews>
    <sheetView view="pageLayout" zoomScaleNormal="100" workbookViewId="0">
      <selection activeCell="H6" sqref="H6"/>
    </sheetView>
  </sheetViews>
  <sheetFormatPr defaultRowHeight="16.5" x14ac:dyDescent="0.3"/>
  <cols>
    <col min="1" max="1" width="15.25" customWidth="1"/>
    <col min="2" max="2" width="9.125" customWidth="1"/>
    <col min="3" max="3" width="11.75" customWidth="1"/>
    <col min="4" max="4" width="6.75" customWidth="1"/>
    <col min="5" max="5" width="11.125" customWidth="1"/>
    <col min="6" max="6" width="13.25" customWidth="1"/>
    <col min="7" max="7" width="13" customWidth="1"/>
    <col min="8" max="8" width="9.125" customWidth="1"/>
  </cols>
  <sheetData>
    <row r="1" spans="1:8" ht="26.25" x14ac:dyDescent="0.45">
      <c r="A1" s="73" t="s">
        <v>115</v>
      </c>
      <c r="B1" s="73"/>
      <c r="C1" s="73"/>
      <c r="D1" s="73"/>
      <c r="E1" s="73"/>
      <c r="F1" s="73"/>
      <c r="G1" s="73"/>
      <c r="H1" s="73"/>
    </row>
    <row r="2" spans="1:8" ht="17.25" thickBot="1" x14ac:dyDescent="0.35">
      <c r="A2" s="5"/>
      <c r="B2" s="6"/>
      <c r="C2" s="1"/>
      <c r="D2" s="1"/>
      <c r="E2" s="1"/>
      <c r="F2" s="1"/>
      <c r="G2" s="1"/>
      <c r="H2" s="1"/>
    </row>
    <row r="3" spans="1:8" ht="17.25" thickBot="1" x14ac:dyDescent="0.35">
      <c r="A3" s="71" t="s">
        <v>84</v>
      </c>
      <c r="B3" s="72"/>
      <c r="C3" s="2">
        <v>187500</v>
      </c>
      <c r="D3" s="3"/>
      <c r="E3" s="71" t="s">
        <v>193</v>
      </c>
      <c r="F3" s="72"/>
      <c r="G3" s="4" cm="1">
        <f t="array" ref="G3:H3">C3-'Year One Summary'!B20:C20-'Year Two Summary'!B20:C20-'Year Three Summary'!B20:C20</f>
        <v>187500</v>
      </c>
      <c r="H3" s="41">
        <v>187500</v>
      </c>
    </row>
    <row r="4" spans="1:8" ht="17.25" thickBot="1" x14ac:dyDescent="0.35">
      <c r="A4" s="71" t="s">
        <v>117</v>
      </c>
      <c r="B4" s="72"/>
      <c r="C4" s="2">
        <v>62500</v>
      </c>
      <c r="D4" s="3"/>
      <c r="E4" s="71" t="s">
        <v>196</v>
      </c>
      <c r="F4" s="72"/>
      <c r="G4" s="4">
        <f>C4-B20</f>
        <v>62500</v>
      </c>
      <c r="H4" s="1"/>
    </row>
    <row r="5" spans="1:8" x14ac:dyDescent="0.3">
      <c r="A5" s="5"/>
      <c r="B5" s="6"/>
      <c r="C5" s="1"/>
      <c r="D5" s="1"/>
      <c r="E5" s="1"/>
      <c r="F5" s="1"/>
      <c r="G5" s="1"/>
      <c r="H5" s="1"/>
    </row>
    <row r="6" spans="1:8" x14ac:dyDescent="0.3">
      <c r="A6" s="12" t="s">
        <v>116</v>
      </c>
      <c r="B6" s="12"/>
      <c r="C6" s="12"/>
      <c r="D6" s="12"/>
      <c r="E6" s="8"/>
      <c r="F6" s="8"/>
      <c r="G6" s="8"/>
      <c r="H6" s="8"/>
    </row>
    <row r="7" spans="1:8" x14ac:dyDescent="0.3">
      <c r="A7" s="9"/>
      <c r="B7" s="7"/>
      <c r="C7" s="7"/>
      <c r="D7" s="7"/>
      <c r="E7" s="1"/>
      <c r="F7" s="1"/>
      <c r="G7" s="1"/>
      <c r="H7" s="1"/>
    </row>
    <row r="8" spans="1:8" x14ac:dyDescent="0.3">
      <c r="A8" s="11" t="s">
        <v>118</v>
      </c>
      <c r="B8" s="70">
        <f>'October 2025'!G100</f>
        <v>0</v>
      </c>
      <c r="C8" s="70"/>
      <c r="D8" s="1"/>
      <c r="E8" s="1"/>
      <c r="F8" s="1"/>
      <c r="G8" s="1"/>
      <c r="H8" s="1"/>
    </row>
    <row r="9" spans="1:8" x14ac:dyDescent="0.3">
      <c r="A9" s="11" t="s">
        <v>119</v>
      </c>
      <c r="B9" s="70">
        <f>'November 2025'!G100</f>
        <v>0</v>
      </c>
      <c r="C9" s="70"/>
      <c r="D9" s="1"/>
      <c r="E9" s="1"/>
      <c r="F9" s="1"/>
      <c r="G9" s="1"/>
      <c r="H9" s="1"/>
    </row>
    <row r="10" spans="1:8" x14ac:dyDescent="0.3">
      <c r="A10" s="11" t="s">
        <v>120</v>
      </c>
      <c r="B10" s="70">
        <f>'December 2025'!G100</f>
        <v>0</v>
      </c>
      <c r="C10" s="70"/>
      <c r="D10" s="1"/>
      <c r="E10" s="1"/>
      <c r="F10" s="1"/>
      <c r="G10" s="1"/>
      <c r="H10" s="1"/>
    </row>
    <row r="11" spans="1:8" x14ac:dyDescent="0.3">
      <c r="A11" s="11" t="s">
        <v>121</v>
      </c>
      <c r="B11" s="70">
        <f>'January 2026'!G100</f>
        <v>0</v>
      </c>
      <c r="C11" s="70"/>
      <c r="D11" s="1"/>
      <c r="E11" s="1"/>
      <c r="F11" s="1"/>
      <c r="G11" s="1"/>
      <c r="H11" s="1"/>
    </row>
    <row r="12" spans="1:8" x14ac:dyDescent="0.3">
      <c r="A12" s="11" t="s">
        <v>122</v>
      </c>
      <c r="B12" s="70">
        <f>'February 2026'!G100</f>
        <v>0</v>
      </c>
      <c r="C12" s="70"/>
      <c r="D12" s="1"/>
      <c r="E12" s="1"/>
      <c r="F12" s="1"/>
      <c r="G12" s="1"/>
      <c r="H12" s="1"/>
    </row>
    <row r="13" spans="1:8" x14ac:dyDescent="0.3">
      <c r="A13" s="11" t="s">
        <v>123</v>
      </c>
      <c r="B13" s="70">
        <f>'March 2026'!G100</f>
        <v>0</v>
      </c>
      <c r="C13" s="70"/>
      <c r="D13" s="1"/>
      <c r="E13" s="1"/>
      <c r="F13" s="1"/>
      <c r="G13" s="1"/>
      <c r="H13" s="1"/>
    </row>
    <row r="14" spans="1:8" x14ac:dyDescent="0.3">
      <c r="A14" s="11" t="s">
        <v>124</v>
      </c>
      <c r="B14" s="70">
        <f>'April 2026'!G100</f>
        <v>0</v>
      </c>
      <c r="C14" s="70"/>
      <c r="D14" s="1"/>
      <c r="E14" s="1"/>
      <c r="F14" s="1"/>
      <c r="G14" s="1"/>
      <c r="H14" s="1"/>
    </row>
    <row r="15" spans="1:8" x14ac:dyDescent="0.3">
      <c r="A15" s="11" t="s">
        <v>125</v>
      </c>
      <c r="B15" s="70">
        <f>'May 2026'!G100</f>
        <v>0</v>
      </c>
      <c r="C15" s="70"/>
      <c r="D15" s="1"/>
      <c r="E15" s="1"/>
      <c r="F15" s="1"/>
      <c r="G15" s="1"/>
      <c r="H15" s="1"/>
    </row>
    <row r="16" spans="1:8" x14ac:dyDescent="0.3">
      <c r="A16" s="11" t="s">
        <v>126</v>
      </c>
      <c r="B16" s="70">
        <f>'June 2026'!G100</f>
        <v>0</v>
      </c>
      <c r="C16" s="70"/>
      <c r="D16" s="1"/>
      <c r="E16" s="1"/>
      <c r="F16" s="1"/>
      <c r="G16" s="1"/>
      <c r="H16" s="1"/>
    </row>
    <row r="17" spans="1:8" x14ac:dyDescent="0.3">
      <c r="A17" s="11" t="s">
        <v>127</v>
      </c>
      <c r="B17" s="70">
        <f>'July 2026'!G100</f>
        <v>0</v>
      </c>
      <c r="C17" s="70"/>
      <c r="D17" s="1"/>
      <c r="E17" s="1"/>
      <c r="F17" s="1"/>
      <c r="G17" s="1"/>
      <c r="H17" s="1"/>
    </row>
    <row r="18" spans="1:8" x14ac:dyDescent="0.3">
      <c r="A18" s="11" t="s">
        <v>128</v>
      </c>
      <c r="B18" s="70">
        <f>'August 2026'!G100</f>
        <v>0</v>
      </c>
      <c r="C18" s="70"/>
      <c r="D18" s="1"/>
      <c r="E18" s="1"/>
      <c r="F18" s="1"/>
      <c r="G18" s="1"/>
      <c r="H18" s="1"/>
    </row>
    <row r="19" spans="1:8" ht="17.25" thickBot="1" x14ac:dyDescent="0.35">
      <c r="A19" s="11" t="s">
        <v>129</v>
      </c>
      <c r="B19" s="75">
        <f>'September 2026'!G100</f>
        <v>0</v>
      </c>
      <c r="C19" s="75"/>
      <c r="D19" s="1"/>
      <c r="E19" s="1"/>
      <c r="F19" s="1"/>
      <c r="G19" s="1"/>
      <c r="H19" s="1"/>
    </row>
    <row r="20" spans="1:8" ht="18" thickTop="1" thickBot="1" x14ac:dyDescent="0.35">
      <c r="A20" s="10" t="s">
        <v>86</v>
      </c>
      <c r="B20" s="74">
        <f>SUM(B8:C19)</f>
        <v>0</v>
      </c>
      <c r="C20" s="74"/>
      <c r="D20" s="1"/>
      <c r="E20" s="1"/>
      <c r="F20" s="1"/>
      <c r="G20" s="1"/>
      <c r="H20" s="1"/>
    </row>
    <row r="21" spans="1:8" ht="17.25" thickTop="1" x14ac:dyDescent="0.3">
      <c r="A21" s="8"/>
      <c r="B21" s="8"/>
      <c r="C21" s="8"/>
      <c r="D21" s="1"/>
      <c r="E21" s="1"/>
      <c r="F21" s="1"/>
      <c r="G21" s="1"/>
      <c r="H21" s="1"/>
    </row>
    <row r="22" spans="1:8" ht="16.5" customHeight="1" x14ac:dyDescent="0.3"/>
  </sheetData>
  <mergeCells count="18">
    <mergeCell ref="B18:C18"/>
    <mergeCell ref="B19:C19"/>
    <mergeCell ref="B20:C20"/>
    <mergeCell ref="B15:C15"/>
    <mergeCell ref="B16:C16"/>
    <mergeCell ref="B17:C17"/>
    <mergeCell ref="B12:C12"/>
    <mergeCell ref="B13:C13"/>
    <mergeCell ref="B14:C14"/>
    <mergeCell ref="B9:C9"/>
    <mergeCell ref="B10:C10"/>
    <mergeCell ref="B11:C11"/>
    <mergeCell ref="A4:B4"/>
    <mergeCell ref="E4:F4"/>
    <mergeCell ref="B8:C8"/>
    <mergeCell ref="A1:H1"/>
    <mergeCell ref="A3:B3"/>
    <mergeCell ref="E3:F3"/>
  </mergeCells>
  <pageMargins left="0.7" right="0.29166666666666669" top="0.75" bottom="0.75" header="0.3" footer="0.3"/>
  <pageSetup orientation="portrait" horizontalDpi="1200" verticalDpi="1200" r:id="rId1"/>
  <headerFooter>
    <oddHeader>&amp;L&amp;F</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3C7B-ADD6-4C9F-BBEA-5570279E18B1}">
  <sheetPr>
    <tabColor rgb="FFD34727"/>
  </sheetPr>
  <dimension ref="A1:X22"/>
  <sheetViews>
    <sheetView view="pageLayout" zoomScaleNormal="100" workbookViewId="0">
      <selection activeCell="H6" sqref="H6"/>
    </sheetView>
  </sheetViews>
  <sheetFormatPr defaultRowHeight="16.5" x14ac:dyDescent="0.3"/>
  <cols>
    <col min="1" max="1" width="15.25" customWidth="1"/>
    <col min="2" max="2" width="9.125" customWidth="1"/>
    <col min="3" max="3" width="11.75" customWidth="1"/>
    <col min="4" max="4" width="9.125" customWidth="1"/>
    <col min="5" max="5" width="12.5" customWidth="1"/>
    <col min="6" max="6" width="9.875" customWidth="1"/>
    <col min="7" max="7" width="12.625" customWidth="1"/>
    <col min="8" max="8" width="7.25" customWidth="1"/>
    <col min="9" max="9" width="15.25" customWidth="1"/>
    <col min="10" max="10" width="9.125" customWidth="1"/>
    <col min="11" max="11" width="11.75" customWidth="1"/>
    <col min="12" max="12" width="9.125" customWidth="1"/>
    <col min="13" max="13" width="12.5" customWidth="1"/>
    <col min="14" max="14" width="10.625" customWidth="1"/>
    <col min="15" max="15" width="13" customWidth="1"/>
    <col min="16" max="16" width="9.125" customWidth="1"/>
    <col min="17" max="17" width="15.25" customWidth="1"/>
    <col min="18" max="18" width="9.125" customWidth="1"/>
    <col min="19" max="19" width="11.75" customWidth="1"/>
    <col min="20" max="20" width="6.75" customWidth="1"/>
    <col min="21" max="21" width="11.125" customWidth="1"/>
    <col min="22" max="22" width="13.25" customWidth="1"/>
    <col min="23" max="23" width="13" customWidth="1"/>
    <col min="24" max="24" width="9.125" customWidth="1"/>
  </cols>
  <sheetData>
    <row r="1" spans="1:24" ht="26.25" x14ac:dyDescent="0.45">
      <c r="A1" s="73" t="s">
        <v>82</v>
      </c>
      <c r="B1" s="73"/>
      <c r="C1" s="73"/>
      <c r="D1" s="73"/>
      <c r="E1" s="73"/>
      <c r="F1" s="73"/>
      <c r="G1" s="73"/>
      <c r="H1" s="73"/>
      <c r="I1" s="73" t="s">
        <v>100</v>
      </c>
      <c r="J1" s="73"/>
      <c r="K1" s="73"/>
      <c r="L1" s="73"/>
      <c r="M1" s="73"/>
      <c r="N1" s="73"/>
      <c r="O1" s="73"/>
      <c r="P1" s="73"/>
      <c r="Q1" s="73" t="s">
        <v>115</v>
      </c>
      <c r="R1" s="73"/>
      <c r="S1" s="73"/>
      <c r="T1" s="73"/>
      <c r="U1" s="73"/>
      <c r="V1" s="73"/>
      <c r="W1" s="73"/>
      <c r="X1" s="73"/>
    </row>
    <row r="2" spans="1:24" ht="17.25" thickBot="1" x14ac:dyDescent="0.35">
      <c r="A2" s="5"/>
      <c r="B2" s="6"/>
      <c r="C2" s="1"/>
      <c r="D2" s="1"/>
      <c r="E2" s="1"/>
      <c r="F2" s="1"/>
      <c r="G2" s="1"/>
      <c r="H2" s="1"/>
      <c r="I2" s="5"/>
      <c r="J2" s="6"/>
      <c r="K2" s="1"/>
      <c r="L2" s="1"/>
      <c r="M2" s="1"/>
      <c r="N2" s="1"/>
      <c r="O2" s="1"/>
      <c r="P2" s="1"/>
      <c r="Q2" s="5"/>
      <c r="R2" s="6"/>
      <c r="S2" s="1"/>
      <c r="T2" s="1"/>
      <c r="U2" s="1"/>
      <c r="V2" s="1"/>
      <c r="W2" s="1"/>
      <c r="X2" s="1"/>
    </row>
    <row r="3" spans="1:24" ht="17.25" thickBot="1" x14ac:dyDescent="0.35">
      <c r="A3" s="71" t="s">
        <v>84</v>
      </c>
      <c r="B3" s="72"/>
      <c r="C3" s="2">
        <v>187500</v>
      </c>
      <c r="D3" s="3"/>
      <c r="E3" s="71" t="s">
        <v>85</v>
      </c>
      <c r="F3" s="72"/>
      <c r="G3" s="4">
        <f>C3-B20</f>
        <v>187500</v>
      </c>
      <c r="H3" s="1"/>
      <c r="I3" s="71" t="s">
        <v>84</v>
      </c>
      <c r="J3" s="72"/>
      <c r="K3" s="2">
        <v>187500</v>
      </c>
      <c r="L3" s="3"/>
      <c r="M3" s="71" t="s">
        <v>193</v>
      </c>
      <c r="N3" s="72"/>
      <c r="O3" s="4">
        <f>K3-B20-J20</f>
        <v>187500</v>
      </c>
      <c r="P3" s="1"/>
      <c r="Q3" s="71" t="s">
        <v>84</v>
      </c>
      <c r="R3" s="72"/>
      <c r="S3" s="2">
        <v>187500</v>
      </c>
      <c r="T3" s="3"/>
      <c r="U3" s="71" t="s">
        <v>193</v>
      </c>
      <c r="V3" s="72"/>
      <c r="W3" s="4">
        <f>S3-B20-J20-R20</f>
        <v>187500</v>
      </c>
      <c r="X3" s="1"/>
    </row>
    <row r="4" spans="1:24" ht="17.25" thickBot="1" x14ac:dyDescent="0.35">
      <c r="A4" s="71" t="s">
        <v>83</v>
      </c>
      <c r="B4" s="72"/>
      <c r="C4" s="2">
        <v>62500</v>
      </c>
      <c r="D4" s="3"/>
      <c r="E4" s="71" t="s">
        <v>194</v>
      </c>
      <c r="F4" s="72"/>
      <c r="G4" s="4">
        <f>C4-B20</f>
        <v>62500</v>
      </c>
      <c r="H4" s="1"/>
      <c r="I4" s="71" t="s">
        <v>101</v>
      </c>
      <c r="J4" s="72"/>
      <c r="K4" s="2">
        <v>62500</v>
      </c>
      <c r="L4" s="3"/>
      <c r="M4" s="71" t="s">
        <v>195</v>
      </c>
      <c r="N4" s="72"/>
      <c r="O4" s="4">
        <f>K4-J20</f>
        <v>62500</v>
      </c>
      <c r="P4" s="1"/>
      <c r="Q4" s="71" t="s">
        <v>117</v>
      </c>
      <c r="R4" s="72"/>
      <c r="S4" s="2">
        <v>62500</v>
      </c>
      <c r="T4" s="3"/>
      <c r="U4" s="71" t="s">
        <v>196</v>
      </c>
      <c r="V4" s="72"/>
      <c r="W4" s="4">
        <f>S4-R20</f>
        <v>62500</v>
      </c>
      <c r="X4" s="1"/>
    </row>
    <row r="5" spans="1:24" x14ac:dyDescent="0.3">
      <c r="A5" s="5"/>
      <c r="B5" s="6"/>
      <c r="C5" s="1"/>
      <c r="D5" s="1"/>
      <c r="E5" s="1"/>
      <c r="F5" s="1"/>
      <c r="G5" s="1"/>
      <c r="H5" s="1"/>
      <c r="I5" s="5"/>
      <c r="J5" s="6"/>
      <c r="K5" s="1"/>
      <c r="L5" s="1"/>
      <c r="M5" s="1"/>
      <c r="N5" s="1"/>
      <c r="O5" s="1"/>
      <c r="P5" s="1"/>
      <c r="Q5" s="5"/>
      <c r="R5" s="6"/>
      <c r="S5" s="1"/>
      <c r="T5" s="1"/>
      <c r="U5" s="1"/>
      <c r="V5" s="1"/>
      <c r="W5" s="1"/>
      <c r="X5" s="1"/>
    </row>
    <row r="6" spans="1:24" x14ac:dyDescent="0.3">
      <c r="A6" s="12" t="s">
        <v>99</v>
      </c>
      <c r="B6" s="12"/>
      <c r="C6" s="12"/>
      <c r="D6" s="12"/>
      <c r="E6" s="8"/>
      <c r="F6" s="8"/>
      <c r="G6" s="8"/>
      <c r="H6" s="8"/>
      <c r="I6" s="12" t="s">
        <v>102</v>
      </c>
      <c r="J6" s="12"/>
      <c r="K6" s="12"/>
      <c r="L6" s="12"/>
      <c r="M6" s="8"/>
      <c r="N6" s="8"/>
      <c r="O6" s="8"/>
      <c r="P6" s="8"/>
      <c r="Q6" s="12" t="s">
        <v>116</v>
      </c>
      <c r="R6" s="12"/>
      <c r="S6" s="12"/>
      <c r="T6" s="12"/>
      <c r="U6" s="8"/>
      <c r="V6" s="8"/>
      <c r="W6" s="8"/>
      <c r="X6" s="8"/>
    </row>
    <row r="7" spans="1:24" x14ac:dyDescent="0.3">
      <c r="A7" s="9"/>
      <c r="B7" s="7"/>
      <c r="C7" s="7"/>
      <c r="D7" s="7"/>
      <c r="E7" s="1"/>
      <c r="F7" s="1"/>
      <c r="G7" s="1"/>
      <c r="H7" s="1"/>
      <c r="I7" s="9"/>
      <c r="J7" s="7"/>
      <c r="K7" s="7"/>
      <c r="L7" s="7"/>
      <c r="M7" s="1"/>
      <c r="N7" s="1"/>
      <c r="O7" s="1"/>
      <c r="P7" s="1"/>
      <c r="Q7" s="9"/>
      <c r="R7" s="7"/>
      <c r="S7" s="7"/>
      <c r="T7" s="7"/>
      <c r="U7" s="1"/>
      <c r="V7" s="1"/>
      <c r="W7" s="1"/>
      <c r="X7" s="1"/>
    </row>
    <row r="8" spans="1:24" x14ac:dyDescent="0.3">
      <c r="A8" s="11" t="s">
        <v>87</v>
      </c>
      <c r="B8" s="70">
        <f>'October 2023'!G100</f>
        <v>0</v>
      </c>
      <c r="C8" s="70"/>
      <c r="D8" s="1"/>
      <c r="E8" s="1"/>
      <c r="F8" s="1"/>
      <c r="G8" s="1"/>
      <c r="H8" s="1"/>
      <c r="I8" s="11" t="s">
        <v>103</v>
      </c>
      <c r="J8" s="70">
        <f>'October 2024'!O100</f>
        <v>0</v>
      </c>
      <c r="K8" s="70"/>
      <c r="L8" s="1"/>
      <c r="M8" s="1"/>
      <c r="N8" s="1"/>
      <c r="O8" s="1"/>
      <c r="P8" s="1"/>
      <c r="Q8" s="11" t="s">
        <v>118</v>
      </c>
      <c r="R8" s="70">
        <f>'October 2025'!W100</f>
        <v>0</v>
      </c>
      <c r="S8" s="70"/>
      <c r="T8" s="1"/>
      <c r="U8" s="1"/>
      <c r="V8" s="1"/>
      <c r="W8" s="1"/>
      <c r="X8" s="1"/>
    </row>
    <row r="9" spans="1:24" x14ac:dyDescent="0.3">
      <c r="A9" s="11" t="s">
        <v>88</v>
      </c>
      <c r="B9" s="70">
        <f>'November 2023'!G100</f>
        <v>0</v>
      </c>
      <c r="C9" s="70"/>
      <c r="D9" s="1"/>
      <c r="E9" s="1"/>
      <c r="F9" s="1"/>
      <c r="G9" s="1"/>
      <c r="H9" s="1"/>
      <c r="I9" s="11" t="s">
        <v>104</v>
      </c>
      <c r="J9" s="70">
        <f>'November 2024'!O100</f>
        <v>0</v>
      </c>
      <c r="K9" s="70"/>
      <c r="L9" s="1"/>
      <c r="M9" s="1"/>
      <c r="N9" s="1"/>
      <c r="O9" s="1"/>
      <c r="P9" s="1"/>
      <c r="Q9" s="11" t="s">
        <v>119</v>
      </c>
      <c r="R9" s="70">
        <f>'November 2025'!W100</f>
        <v>0</v>
      </c>
      <c r="S9" s="70"/>
      <c r="T9" s="1"/>
      <c r="U9" s="1"/>
      <c r="V9" s="1"/>
      <c r="W9" s="1"/>
      <c r="X9" s="1"/>
    </row>
    <row r="10" spans="1:24" x14ac:dyDescent="0.3">
      <c r="A10" s="11" t="s">
        <v>89</v>
      </c>
      <c r="B10" s="70">
        <f>'December 2023'!G100</f>
        <v>0</v>
      </c>
      <c r="C10" s="70"/>
      <c r="D10" s="1"/>
      <c r="E10" s="1"/>
      <c r="F10" s="1"/>
      <c r="G10" s="1"/>
      <c r="H10" s="1"/>
      <c r="I10" s="11" t="s">
        <v>105</v>
      </c>
      <c r="J10" s="70">
        <f>'December 2024'!O100</f>
        <v>0</v>
      </c>
      <c r="K10" s="70"/>
      <c r="L10" s="1"/>
      <c r="M10" s="1"/>
      <c r="N10" s="1"/>
      <c r="O10" s="1"/>
      <c r="P10" s="1"/>
      <c r="Q10" s="11" t="s">
        <v>120</v>
      </c>
      <c r="R10" s="70">
        <f>'December 2025'!W100</f>
        <v>0</v>
      </c>
      <c r="S10" s="70"/>
      <c r="T10" s="1"/>
      <c r="U10" s="1"/>
      <c r="V10" s="1"/>
      <c r="W10" s="1"/>
      <c r="X10" s="1"/>
    </row>
    <row r="11" spans="1:24" x14ac:dyDescent="0.3">
      <c r="A11" s="11" t="s">
        <v>90</v>
      </c>
      <c r="B11" s="70">
        <f>'January 2024'!G100</f>
        <v>0</v>
      </c>
      <c r="C11" s="70"/>
      <c r="D11" s="1"/>
      <c r="E11" s="1"/>
      <c r="F11" s="1"/>
      <c r="G11" s="1"/>
      <c r="H11" s="1"/>
      <c r="I11" s="11" t="s">
        <v>106</v>
      </c>
      <c r="J11" s="70">
        <f>'January 2025'!O100</f>
        <v>0</v>
      </c>
      <c r="K11" s="70"/>
      <c r="L11" s="1"/>
      <c r="M11" s="1"/>
      <c r="N11" s="1"/>
      <c r="O11" s="1"/>
      <c r="P11" s="1"/>
      <c r="Q11" s="11" t="s">
        <v>121</v>
      </c>
      <c r="R11" s="70">
        <f>'January 2026'!W100</f>
        <v>0</v>
      </c>
      <c r="S11" s="70"/>
      <c r="T11" s="1"/>
      <c r="U11" s="1"/>
      <c r="V11" s="1"/>
      <c r="W11" s="1"/>
      <c r="X11" s="1"/>
    </row>
    <row r="12" spans="1:24" x14ac:dyDescent="0.3">
      <c r="A12" s="11" t="s">
        <v>91</v>
      </c>
      <c r="B12" s="70">
        <f>'February 2024'!G100</f>
        <v>0</v>
      </c>
      <c r="C12" s="70"/>
      <c r="D12" s="1"/>
      <c r="E12" s="1"/>
      <c r="F12" s="1"/>
      <c r="G12" s="1"/>
      <c r="H12" s="1"/>
      <c r="I12" s="11" t="s">
        <v>107</v>
      </c>
      <c r="J12" s="70">
        <f>'February 2025'!O100</f>
        <v>0</v>
      </c>
      <c r="K12" s="70"/>
      <c r="L12" s="1"/>
      <c r="M12" s="1"/>
      <c r="N12" s="1"/>
      <c r="O12" s="1"/>
      <c r="P12" s="1"/>
      <c r="Q12" s="11" t="s">
        <v>122</v>
      </c>
      <c r="R12" s="70">
        <f>'February 2026'!W100</f>
        <v>0</v>
      </c>
      <c r="S12" s="70"/>
      <c r="T12" s="1"/>
      <c r="U12" s="1"/>
      <c r="V12" s="1"/>
      <c r="W12" s="1"/>
      <c r="X12" s="1"/>
    </row>
    <row r="13" spans="1:24" x14ac:dyDescent="0.3">
      <c r="A13" s="11" t="s">
        <v>92</v>
      </c>
      <c r="B13" s="70">
        <f>'March 2024'!G100</f>
        <v>0</v>
      </c>
      <c r="C13" s="70"/>
      <c r="D13" s="1"/>
      <c r="E13" s="1"/>
      <c r="F13" s="1"/>
      <c r="G13" s="1"/>
      <c r="H13" s="1"/>
      <c r="I13" s="11" t="s">
        <v>108</v>
      </c>
      <c r="J13" s="70">
        <f>'March 2025'!O100</f>
        <v>0</v>
      </c>
      <c r="K13" s="70"/>
      <c r="L13" s="1"/>
      <c r="M13" s="1"/>
      <c r="N13" s="1"/>
      <c r="O13" s="1"/>
      <c r="P13" s="1"/>
      <c r="Q13" s="11" t="s">
        <v>123</v>
      </c>
      <c r="R13" s="70">
        <f>'March 2026'!W100</f>
        <v>0</v>
      </c>
      <c r="S13" s="70"/>
      <c r="T13" s="1"/>
      <c r="U13" s="1"/>
      <c r="V13" s="1"/>
      <c r="W13" s="1"/>
      <c r="X13" s="1"/>
    </row>
    <row r="14" spans="1:24" x14ac:dyDescent="0.3">
      <c r="A14" s="11" t="s">
        <v>93</v>
      </c>
      <c r="B14" s="70">
        <f>'April 2024'!G100</f>
        <v>0</v>
      </c>
      <c r="C14" s="70"/>
      <c r="D14" s="1"/>
      <c r="E14" s="1"/>
      <c r="F14" s="1"/>
      <c r="G14" s="1"/>
      <c r="H14" s="1"/>
      <c r="I14" s="11" t="s">
        <v>109</v>
      </c>
      <c r="J14" s="70">
        <f>'April 2025'!O100</f>
        <v>0</v>
      </c>
      <c r="K14" s="70"/>
      <c r="L14" s="1"/>
      <c r="M14" s="1"/>
      <c r="N14" s="1"/>
      <c r="O14" s="1"/>
      <c r="P14" s="1"/>
      <c r="Q14" s="11" t="s">
        <v>124</v>
      </c>
      <c r="R14" s="70">
        <f>'April 2026'!W100</f>
        <v>0</v>
      </c>
      <c r="S14" s="70"/>
      <c r="T14" s="1"/>
      <c r="U14" s="1"/>
      <c r="V14" s="1"/>
      <c r="W14" s="1"/>
      <c r="X14" s="1"/>
    </row>
    <row r="15" spans="1:24" x14ac:dyDescent="0.3">
      <c r="A15" s="11" t="s">
        <v>94</v>
      </c>
      <c r="B15" s="70">
        <f>'May 2024'!G100</f>
        <v>0</v>
      </c>
      <c r="C15" s="70"/>
      <c r="D15" s="1"/>
      <c r="E15" s="1"/>
      <c r="F15" s="1"/>
      <c r="G15" s="1"/>
      <c r="H15" s="1"/>
      <c r="I15" s="11" t="s">
        <v>110</v>
      </c>
      <c r="J15" s="70">
        <f>'May 2025'!O100</f>
        <v>0</v>
      </c>
      <c r="K15" s="70"/>
      <c r="L15" s="1"/>
      <c r="M15" s="1"/>
      <c r="N15" s="1"/>
      <c r="O15" s="1"/>
      <c r="P15" s="1"/>
      <c r="Q15" s="11" t="s">
        <v>125</v>
      </c>
      <c r="R15" s="70">
        <f>'May 2026'!W100</f>
        <v>0</v>
      </c>
      <c r="S15" s="70"/>
      <c r="T15" s="1"/>
      <c r="U15" s="1"/>
      <c r="V15" s="1"/>
      <c r="W15" s="1"/>
      <c r="X15" s="1"/>
    </row>
    <row r="16" spans="1:24" x14ac:dyDescent="0.3">
      <c r="A16" s="11" t="s">
        <v>95</v>
      </c>
      <c r="B16" s="70">
        <f>'June 2024'!G100</f>
        <v>0</v>
      </c>
      <c r="C16" s="70"/>
      <c r="D16" s="1"/>
      <c r="E16" s="1"/>
      <c r="F16" s="1"/>
      <c r="G16" s="1"/>
      <c r="H16" s="1"/>
      <c r="I16" s="11" t="s">
        <v>111</v>
      </c>
      <c r="J16" s="70">
        <f>'June 2025'!O100</f>
        <v>0</v>
      </c>
      <c r="K16" s="70"/>
      <c r="L16" s="1"/>
      <c r="M16" s="1"/>
      <c r="N16" s="1"/>
      <c r="O16" s="1"/>
      <c r="P16" s="1"/>
      <c r="Q16" s="11" t="s">
        <v>126</v>
      </c>
      <c r="R16" s="70">
        <f>'June 2026'!W100</f>
        <v>0</v>
      </c>
      <c r="S16" s="70"/>
      <c r="T16" s="1"/>
      <c r="U16" s="1"/>
      <c r="V16" s="1"/>
      <c r="W16" s="1"/>
      <c r="X16" s="1"/>
    </row>
    <row r="17" spans="1:24" x14ac:dyDescent="0.3">
      <c r="A17" s="11" t="s">
        <v>96</v>
      </c>
      <c r="B17" s="70">
        <f>'July 2024'!G100</f>
        <v>0</v>
      </c>
      <c r="C17" s="70"/>
      <c r="D17" s="1"/>
      <c r="E17" s="1"/>
      <c r="F17" s="1"/>
      <c r="G17" s="1"/>
      <c r="H17" s="1"/>
      <c r="I17" s="11" t="s">
        <v>112</v>
      </c>
      <c r="J17" s="70">
        <f>'July 2025'!O100</f>
        <v>0</v>
      </c>
      <c r="K17" s="70"/>
      <c r="L17" s="1"/>
      <c r="M17" s="1"/>
      <c r="N17" s="1"/>
      <c r="O17" s="1"/>
      <c r="P17" s="1"/>
      <c r="Q17" s="11" t="s">
        <v>127</v>
      </c>
      <c r="R17" s="70">
        <f>'July 2026'!W100</f>
        <v>0</v>
      </c>
      <c r="S17" s="70"/>
      <c r="T17" s="1"/>
      <c r="U17" s="1"/>
      <c r="V17" s="1"/>
      <c r="W17" s="1"/>
      <c r="X17" s="1"/>
    </row>
    <row r="18" spans="1:24" x14ac:dyDescent="0.3">
      <c r="A18" s="11" t="s">
        <v>97</v>
      </c>
      <c r="B18" s="70">
        <f>'August 2024'!G100</f>
        <v>0</v>
      </c>
      <c r="C18" s="70"/>
      <c r="D18" s="1"/>
      <c r="E18" s="1"/>
      <c r="F18" s="1"/>
      <c r="G18" s="1"/>
      <c r="H18" s="1"/>
      <c r="I18" s="11" t="s">
        <v>113</v>
      </c>
      <c r="J18" s="70">
        <f>'August 2025'!O100</f>
        <v>0</v>
      </c>
      <c r="K18" s="70"/>
      <c r="L18" s="1"/>
      <c r="M18" s="1"/>
      <c r="N18" s="1"/>
      <c r="O18" s="1"/>
      <c r="P18" s="1"/>
      <c r="Q18" s="11" t="s">
        <v>128</v>
      </c>
      <c r="R18" s="70">
        <f>'August 2026'!W100</f>
        <v>0</v>
      </c>
      <c r="S18" s="70"/>
      <c r="T18" s="1"/>
      <c r="U18" s="1"/>
      <c r="V18" s="1"/>
      <c r="W18" s="1"/>
      <c r="X18" s="1"/>
    </row>
    <row r="19" spans="1:24" ht="17.25" thickBot="1" x14ac:dyDescent="0.35">
      <c r="A19" s="11" t="s">
        <v>98</v>
      </c>
      <c r="B19" s="75">
        <f>'September 2024'!G100</f>
        <v>0</v>
      </c>
      <c r="C19" s="75"/>
      <c r="D19" s="1"/>
      <c r="E19" s="1"/>
      <c r="F19" s="1"/>
      <c r="G19" s="1"/>
      <c r="H19" s="1"/>
      <c r="I19" s="11" t="s">
        <v>114</v>
      </c>
      <c r="J19" s="75">
        <f>'September 2025'!O100</f>
        <v>0</v>
      </c>
      <c r="K19" s="75"/>
      <c r="L19" s="1"/>
      <c r="M19" s="1"/>
      <c r="N19" s="1"/>
      <c r="O19" s="1"/>
      <c r="P19" s="1"/>
      <c r="Q19" s="11" t="s">
        <v>129</v>
      </c>
      <c r="R19" s="75">
        <f>'September 2026'!W100</f>
        <v>0</v>
      </c>
      <c r="S19" s="75"/>
      <c r="T19" s="1"/>
      <c r="U19" s="1"/>
      <c r="V19" s="1"/>
      <c r="W19" s="1"/>
      <c r="X19" s="1"/>
    </row>
    <row r="20" spans="1:24" ht="18" thickTop="1" thickBot="1" x14ac:dyDescent="0.35">
      <c r="A20" s="10" t="s">
        <v>86</v>
      </c>
      <c r="B20" s="74">
        <f>SUM(B8:C19)</f>
        <v>0</v>
      </c>
      <c r="C20" s="74"/>
      <c r="D20" s="1"/>
      <c r="E20" s="1"/>
      <c r="F20" s="1"/>
      <c r="G20" s="1"/>
      <c r="H20" s="1"/>
      <c r="I20" s="10" t="s">
        <v>86</v>
      </c>
      <c r="J20" s="74">
        <f>SUM(J8:K19)</f>
        <v>0</v>
      </c>
      <c r="K20" s="74"/>
      <c r="L20" s="1"/>
      <c r="M20" s="1"/>
      <c r="N20" s="1"/>
      <c r="O20" s="1"/>
      <c r="P20" s="1"/>
      <c r="Q20" s="10" t="s">
        <v>86</v>
      </c>
      <c r="R20" s="74">
        <f>SUM(R8:S19)</f>
        <v>0</v>
      </c>
      <c r="S20" s="74"/>
      <c r="T20" s="1"/>
      <c r="U20" s="1"/>
      <c r="V20" s="1"/>
      <c r="W20" s="1"/>
      <c r="X20" s="1"/>
    </row>
    <row r="21" spans="1:24" ht="17.25" thickTop="1" x14ac:dyDescent="0.3">
      <c r="A21" s="8"/>
      <c r="B21" s="8"/>
      <c r="C21" s="8"/>
      <c r="D21" s="1"/>
      <c r="E21" s="1"/>
      <c r="F21" s="1"/>
      <c r="G21" s="1"/>
      <c r="H21" s="1"/>
      <c r="I21" s="8"/>
      <c r="J21" s="8"/>
      <c r="K21" s="8"/>
      <c r="L21" s="1"/>
      <c r="M21" s="1"/>
      <c r="N21" s="1"/>
      <c r="O21" s="1"/>
      <c r="P21" s="1"/>
      <c r="Q21" s="8"/>
      <c r="R21" s="8"/>
      <c r="S21" s="8"/>
      <c r="T21" s="1"/>
      <c r="U21" s="1"/>
      <c r="V21" s="1"/>
      <c r="W21" s="1"/>
      <c r="X21" s="1"/>
    </row>
    <row r="22" spans="1:24" ht="16.5" customHeight="1" x14ac:dyDescent="0.3"/>
  </sheetData>
  <mergeCells count="54">
    <mergeCell ref="R17:S17"/>
    <mergeCell ref="R18:S18"/>
    <mergeCell ref="R19:S19"/>
    <mergeCell ref="R12:S12"/>
    <mergeCell ref="R13:S13"/>
    <mergeCell ref="R14:S14"/>
    <mergeCell ref="R15:S15"/>
    <mergeCell ref="R16:S16"/>
    <mergeCell ref="J11:K11"/>
    <mergeCell ref="J12:K12"/>
    <mergeCell ref="Q1:X1"/>
    <mergeCell ref="Q3:R3"/>
    <mergeCell ref="U3:V3"/>
    <mergeCell ref="Q4:R4"/>
    <mergeCell ref="U4:V4"/>
    <mergeCell ref="I1:P1"/>
    <mergeCell ref="I3:J3"/>
    <mergeCell ref="M3:N3"/>
    <mergeCell ref="I4:J4"/>
    <mergeCell ref="M4:N4"/>
    <mergeCell ref="J13:K13"/>
    <mergeCell ref="J14:K14"/>
    <mergeCell ref="J8:K8"/>
    <mergeCell ref="R20:S20"/>
    <mergeCell ref="R9:S9"/>
    <mergeCell ref="R10:S10"/>
    <mergeCell ref="R11:S11"/>
    <mergeCell ref="J15:K15"/>
    <mergeCell ref="J16:K16"/>
    <mergeCell ref="J17:K17"/>
    <mergeCell ref="J18:K18"/>
    <mergeCell ref="J19:K19"/>
    <mergeCell ref="J20:K20"/>
    <mergeCell ref="R8:S8"/>
    <mergeCell ref="J9:K9"/>
    <mergeCell ref="J10:K10"/>
    <mergeCell ref="A1:H1"/>
    <mergeCell ref="E3:F3"/>
    <mergeCell ref="A3:B3"/>
    <mergeCell ref="A4:B4"/>
    <mergeCell ref="E4:F4"/>
    <mergeCell ref="B19:C19"/>
    <mergeCell ref="B20:C20"/>
    <mergeCell ref="B13:C13"/>
    <mergeCell ref="B14:C14"/>
    <mergeCell ref="B15:C15"/>
    <mergeCell ref="B16:C16"/>
    <mergeCell ref="B17:C17"/>
    <mergeCell ref="B18:C18"/>
    <mergeCell ref="B8:C8"/>
    <mergeCell ref="B9:C9"/>
    <mergeCell ref="B10:C10"/>
    <mergeCell ref="B11:C11"/>
    <mergeCell ref="B12:C12"/>
  </mergeCells>
  <phoneticPr fontId="19" type="noConversion"/>
  <pageMargins left="0.7" right="0.29166666666666669" top="0.75" bottom="0.75" header="0.3" footer="0.3"/>
  <pageSetup orientation="portrait" horizontalDpi="1200" verticalDpi="1200" r:id="rId1"/>
  <headerFooter>
    <oddHeader>&amp;L&amp;F</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2fd87cb-4676-4bac-a38b-4256ab1adecf">
      <Terms xmlns="http://schemas.microsoft.com/office/infopath/2007/PartnerControls"/>
    </lcf76f155ced4ddcb4097134ff3c332f>
    <TaxCatchAll xmlns="25d83d48-fb20-4537-95a6-3251357185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A4B5BD186EB041A130BDBB4D478364" ma:contentTypeVersion="16" ma:contentTypeDescription="Create a new document." ma:contentTypeScope="" ma:versionID="530f3646294d396b2557fc46acff48cf">
  <xsd:schema xmlns:xsd="http://www.w3.org/2001/XMLSchema" xmlns:xs="http://www.w3.org/2001/XMLSchema" xmlns:p="http://schemas.microsoft.com/office/2006/metadata/properties" xmlns:ns1="http://schemas.microsoft.com/sharepoint/v3" xmlns:ns2="32fd87cb-4676-4bac-a38b-4256ab1adecf" xmlns:ns3="b4c80073-f77f-404e-ab27-a0703747d089" xmlns:ns4="25d83d48-fb20-4537-95a6-325135718581" targetNamespace="http://schemas.microsoft.com/office/2006/metadata/properties" ma:root="true" ma:fieldsID="30ccc7fac4a3a51539e416477ee7b723" ns1:_="" ns2:_="" ns3:_="" ns4:_="">
    <xsd:import namespace="http://schemas.microsoft.com/sharepoint/v3"/>
    <xsd:import namespace="32fd87cb-4676-4bac-a38b-4256ab1adecf"/>
    <xsd:import namespace="b4c80073-f77f-404e-ab27-a0703747d089"/>
    <xsd:import namespace="25d83d48-fb20-4537-95a6-3251357185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fd87cb-4676-4bac-a38b-4256ab1ade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c80073-f77f-404e-ab27-a0703747d08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d83d48-fb20-4537-95a6-32513571858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02e187f-58cd-4d28-91e3-5a1adae2d78f}" ma:internalName="TaxCatchAll" ma:showField="CatchAllData" ma:web="b4c80073-f77f-404e-ab27-a0703747d0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B17504-FBAA-4F9A-B144-E79921A22EC3}">
  <ds:schemaRefs>
    <ds:schemaRef ds:uri="http://purl.org/dc/terms/"/>
    <ds:schemaRef ds:uri="b4c80073-f77f-404e-ab27-a0703747d089"/>
    <ds:schemaRef ds:uri="http://purl.org/dc/dcmitype/"/>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25d83d48-fb20-4537-95a6-325135718581"/>
    <ds:schemaRef ds:uri="32fd87cb-4676-4bac-a38b-4256ab1adec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FE18D35-BA53-4711-B542-719C86AB2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fd87cb-4676-4bac-a38b-4256ab1adecf"/>
    <ds:schemaRef ds:uri="b4c80073-f77f-404e-ab27-a0703747d089"/>
    <ds:schemaRef ds:uri="25d83d48-fb20-4537-95a6-32513571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EE17A3-AFAB-495D-AED7-DF8DEE9C6C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vt:i4>
      </vt:variant>
    </vt:vector>
  </HeadingPairs>
  <TitlesOfParts>
    <vt:vector size="44" baseType="lpstr">
      <vt:lpstr>Activities</vt:lpstr>
      <vt:lpstr>CSAP Codes</vt:lpstr>
      <vt:lpstr>October 2023</vt:lpstr>
      <vt:lpstr>November 2023</vt:lpstr>
      <vt:lpstr>December 2023</vt:lpstr>
      <vt:lpstr>January 2024</vt:lpstr>
      <vt:lpstr>February 2024</vt:lpstr>
      <vt:lpstr>March 2024</vt:lpstr>
      <vt:lpstr>April 2024</vt:lpstr>
      <vt:lpstr>May 2024</vt:lpstr>
      <vt:lpstr>June 2024</vt:lpstr>
      <vt:lpstr>July 2024</vt:lpstr>
      <vt:lpstr>August 2024</vt:lpstr>
      <vt:lpstr>September 2024</vt:lpstr>
      <vt:lpstr>Year One Summary</vt:lpstr>
      <vt:lpstr>October 2024</vt:lpstr>
      <vt:lpstr>November 2024</vt:lpstr>
      <vt:lpstr>December 2024</vt:lpstr>
      <vt:lpstr>January 2025</vt:lpstr>
      <vt:lpstr>February 2025</vt:lpstr>
      <vt:lpstr>March 2025</vt:lpstr>
      <vt:lpstr>April 2025</vt:lpstr>
      <vt:lpstr>May 2025</vt:lpstr>
      <vt:lpstr>June 2025</vt:lpstr>
      <vt:lpstr>July 2025</vt:lpstr>
      <vt:lpstr>August 2025</vt:lpstr>
      <vt:lpstr>September 2025</vt:lpstr>
      <vt:lpstr>Year Two Summary</vt:lpstr>
      <vt:lpstr>October 2025</vt:lpstr>
      <vt:lpstr>November 2025</vt:lpstr>
      <vt:lpstr>December 2025</vt:lpstr>
      <vt:lpstr>January 2026</vt:lpstr>
      <vt:lpstr>February 2026</vt:lpstr>
      <vt:lpstr>March 2026</vt:lpstr>
      <vt:lpstr>April 2026</vt:lpstr>
      <vt:lpstr>May 2026</vt:lpstr>
      <vt:lpstr>June 2026</vt:lpstr>
      <vt:lpstr>July 2026</vt:lpstr>
      <vt:lpstr>August 2026</vt:lpstr>
      <vt:lpstr>September 2026</vt:lpstr>
      <vt:lpstr>Year Three Summary</vt:lpstr>
      <vt:lpstr>Total Summary</vt:lpstr>
      <vt:lpstr>Activities!_Hlk7422930</vt:lpstr>
      <vt:lpstr>CSAPcodes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Bauer, Kali A.</dc:creator>
  <cp:lastModifiedBy>Bauer, Kali A.</cp:lastModifiedBy>
  <dcterms:created xsi:type="dcterms:W3CDTF">2023-10-17T16:53:55Z</dcterms:created>
  <dcterms:modified xsi:type="dcterms:W3CDTF">2023-11-03T17:55:05Z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0x010100A2A4B5BD186EB041A130BDBB4D478364</vt:lpwstr>
  </property>
  <property fmtid="{D5CDD505-2E9C-101B-9397-08002B2CF9AE}" pid="3" name="MediaServiceImageTags">
    <vt:lpwstr/>
  </property>
</Properties>
</file>