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16"/>
  <workbookPr/>
  <mc:AlternateContent xmlns:mc="http://schemas.openxmlformats.org/markup-compatibility/2006">
    <mc:Choice Requires="x15">
      <x15ac:absPath xmlns:x15ac="http://schemas.microsoft.com/office/spreadsheetml/2010/11/ac" url="H:\CSH Internal\Field Offices\Central\2021\ND\Materials\Services Budget Tool Tailored\"/>
    </mc:Choice>
  </mc:AlternateContent>
  <xr:revisionPtr revIDLastSave="0" documentId="11_50A5418EB6F1CFF097E21468181372595B053072" xr6:coauthVersionLast="47" xr6:coauthVersionMax="47" xr10:uidLastSave="{00000000-0000-0000-0000-000000000000}"/>
  <bookViews>
    <workbookView xWindow="0" yWindow="0" windowWidth="19200" windowHeight="6470" tabRatio="764" xr2:uid="{00000000-000D-0000-FFFF-FFFF00000000}"/>
  </bookViews>
  <sheets>
    <sheet name="1. About the Service BudgetTool" sheetId="8" r:id="rId1"/>
    <sheet name="2. Budget Summary Output" sheetId="2" r:id="rId2"/>
    <sheet name="3. Basic Input &amp; Assumptions" sheetId="19" r:id="rId3"/>
    <sheet name="4. ACT" sheetId="10" state="hidden" r:id="rId4"/>
    <sheet name="5. ICM" sheetId="9" state="hidden" r:id="rId5"/>
    <sheet name="4. Housing Support Serv." sheetId="11" r:id="rId6"/>
    <sheet name="7. CTI" sheetId="12" state="hidden" r:id="rId7"/>
    <sheet name="5. General Start Up Cost" sheetId="23" r:id="rId8"/>
    <sheet name="6. New Medicaid Provider Costs" sheetId="22" r:id="rId9"/>
  </sheets>
  <externalReferences>
    <externalReference r:id="rId10"/>
    <externalReference r:id="rId11"/>
  </externalReferences>
  <definedNames>
    <definedName name="_xlnm.Print_Area" localSheetId="8">'6. New Medicaid Provider Costs'!$B$1:$K$71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70" i="11" l="1"/>
  <c r="H67" i="11"/>
  <c r="H57" i="11"/>
  <c r="H47" i="11"/>
  <c r="H46" i="11"/>
  <c r="H45" i="11"/>
  <c r="H44" i="11"/>
  <c r="F72" i="22" l="1"/>
  <c r="F71" i="22"/>
  <c r="F70" i="22"/>
  <c r="F69" i="22"/>
  <c r="F68" i="22"/>
  <c r="F67" i="22"/>
  <c r="F66" i="22"/>
  <c r="F65" i="22"/>
  <c r="F64" i="22"/>
  <c r="F63" i="22"/>
  <c r="F62" i="22"/>
  <c r="F61" i="22"/>
  <c r="F60" i="22"/>
  <c r="E60" i="22"/>
  <c r="E72" i="22" s="1"/>
  <c r="I50" i="22"/>
  <c r="I49" i="22"/>
  <c r="I48" i="22"/>
  <c r="I47" i="22"/>
  <c r="I46" i="22"/>
  <c r="I45" i="22"/>
  <c r="I43" i="22"/>
  <c r="I42" i="22"/>
  <c r="I41" i="22"/>
  <c r="I40" i="22"/>
  <c r="I38" i="22"/>
  <c r="I37" i="22"/>
  <c r="I36" i="22"/>
  <c r="I34" i="22"/>
  <c r="I33" i="22"/>
  <c r="I32" i="22"/>
  <c r="I51" i="22" s="1"/>
  <c r="I31" i="22"/>
  <c r="I30" i="22"/>
  <c r="I29" i="22"/>
  <c r="I23" i="22"/>
  <c r="I22" i="22"/>
  <c r="G22" i="22"/>
  <c r="I21" i="22"/>
  <c r="G21" i="22"/>
  <c r="I19" i="22"/>
  <c r="G19" i="22"/>
  <c r="I16" i="22"/>
  <c r="I24" i="22" s="1"/>
  <c r="I14" i="22"/>
  <c r="I13" i="22"/>
  <c r="I12" i="22"/>
  <c r="H43" i="11" l="1"/>
  <c r="I25" i="22"/>
  <c r="I52" i="22"/>
  <c r="I54" i="22"/>
  <c r="I55" i="22"/>
  <c r="E61" i="22"/>
  <c r="E65" i="22"/>
  <c r="E69" i="22"/>
  <c r="E62" i="22"/>
  <c r="E66" i="22"/>
  <c r="E70" i="22"/>
  <c r="E63" i="22"/>
  <c r="E67" i="22"/>
  <c r="E71" i="22"/>
  <c r="E64" i="22"/>
  <c r="E68" i="22"/>
  <c r="H65" i="12" l="1"/>
  <c r="J65" i="12" s="1"/>
  <c r="H74" i="9"/>
  <c r="J74" i="9" s="1"/>
  <c r="H68" i="12"/>
  <c r="J68" i="12" s="1"/>
  <c r="H77" i="9"/>
  <c r="J77" i="9" s="1"/>
  <c r="H42" i="12"/>
  <c r="H41" i="12"/>
  <c r="H52" i="9"/>
  <c r="J52" i="9" s="1"/>
  <c r="H43" i="12"/>
  <c r="J43" i="12" s="1"/>
  <c r="H55" i="12"/>
  <c r="H64" i="9"/>
  <c r="J64" i="9" s="1"/>
  <c r="H51" i="9"/>
  <c r="H50" i="9"/>
  <c r="H68" i="10"/>
  <c r="J68" i="10" s="1"/>
  <c r="J70" i="11"/>
  <c r="H72" i="10"/>
  <c r="J72" i="10" s="1"/>
  <c r="J57" i="11"/>
  <c r="H58" i="10"/>
  <c r="J45" i="11"/>
  <c r="H46" i="10"/>
  <c r="J46" i="10" s="1"/>
  <c r="H45" i="10"/>
  <c r="H44" i="12"/>
  <c r="J44" i="12" s="1"/>
  <c r="H53" i="9"/>
  <c r="J53" i="9" s="1"/>
  <c r="J67" i="11"/>
  <c r="H47" i="10"/>
  <c r="J47" i="10" s="1"/>
  <c r="J46" i="11"/>
  <c r="H44" i="10"/>
  <c r="H79" i="9" l="1"/>
  <c r="H70" i="12"/>
  <c r="J55" i="12"/>
  <c r="J58" i="10"/>
  <c r="H74" i="10"/>
  <c r="H72" i="11"/>
  <c r="F48" i="23"/>
  <c r="F49" i="23"/>
  <c r="F50" i="23"/>
  <c r="F47" i="23"/>
  <c r="F34" i="23"/>
  <c r="F35" i="23"/>
  <c r="F36" i="23"/>
  <c r="F37" i="23"/>
  <c r="F38" i="23"/>
  <c r="F39" i="23"/>
  <c r="F40" i="23"/>
  <c r="F41" i="23"/>
  <c r="F42" i="23"/>
  <c r="F43" i="23"/>
  <c r="F44" i="23"/>
  <c r="F33" i="23"/>
  <c r="F25" i="23"/>
  <c r="F26" i="23"/>
  <c r="F27" i="23"/>
  <c r="F28" i="23"/>
  <c r="F29" i="23"/>
  <c r="F30" i="23"/>
  <c r="F31" i="23"/>
  <c r="F24" i="23"/>
  <c r="F19" i="23"/>
  <c r="F20" i="23"/>
  <c r="F18" i="23"/>
  <c r="F11" i="23"/>
  <c r="F12" i="23"/>
  <c r="F13" i="23"/>
  <c r="F14" i="23"/>
  <c r="F15" i="23"/>
  <c r="F10" i="23"/>
  <c r="G12" i="11"/>
  <c r="G13" i="11"/>
  <c r="E13" i="11"/>
  <c r="E12" i="11"/>
  <c r="I68" i="10" l="1"/>
  <c r="E6" i="19" l="1"/>
  <c r="E9" i="9" l="1"/>
  <c r="G13" i="9"/>
  <c r="E10" i="11"/>
  <c r="E9" i="11"/>
  <c r="G10" i="11"/>
  <c r="G9" i="12"/>
  <c r="G12" i="9"/>
  <c r="E11" i="11"/>
  <c r="G11" i="9"/>
  <c r="G10" i="9"/>
  <c r="E11" i="12"/>
  <c r="G9" i="11"/>
  <c r="G11" i="12"/>
  <c r="E10" i="12"/>
  <c r="G11" i="11"/>
  <c r="G10" i="12"/>
  <c r="E11" i="9"/>
  <c r="E10" i="9"/>
  <c r="E12" i="9"/>
  <c r="E13" i="9"/>
  <c r="G9" i="9"/>
  <c r="E9" i="12" l="1"/>
  <c r="G58" i="12" l="1"/>
  <c r="G57" i="12"/>
  <c r="G60" i="11"/>
  <c r="G59" i="11"/>
  <c r="G67" i="9"/>
  <c r="G66" i="9"/>
  <c r="I44" i="12"/>
  <c r="I45" i="12"/>
  <c r="I49" i="12"/>
  <c r="I50" i="12"/>
  <c r="I51" i="12"/>
  <c r="I53" i="12"/>
  <c r="I54" i="12"/>
  <c r="I60" i="12"/>
  <c r="I61" i="12"/>
  <c r="I64" i="12"/>
  <c r="I65" i="12"/>
  <c r="I68" i="12"/>
  <c r="J77" i="12"/>
  <c r="K77" i="12" s="1"/>
  <c r="D85" i="11"/>
  <c r="J85" i="11" s="1"/>
  <c r="D83" i="12"/>
  <c r="J83" i="12" s="1"/>
  <c r="I46" i="11"/>
  <c r="I47" i="11"/>
  <c r="G61" i="10"/>
  <c r="G60" i="10"/>
  <c r="I51" i="11"/>
  <c r="I52" i="11"/>
  <c r="I53" i="11"/>
  <c r="I55" i="11"/>
  <c r="I56" i="11"/>
  <c r="I62" i="11"/>
  <c r="I63" i="11"/>
  <c r="I66" i="11"/>
  <c r="I67" i="11"/>
  <c r="I70" i="11"/>
  <c r="J79" i="11"/>
  <c r="K79" i="11" s="1"/>
  <c r="L79" i="11" s="1"/>
  <c r="J87" i="9"/>
  <c r="K87" i="9" s="1"/>
  <c r="J88" i="9"/>
  <c r="K88" i="9" s="1"/>
  <c r="J89" i="9"/>
  <c r="K89" i="9" s="1"/>
  <c r="L89" i="9" s="1"/>
  <c r="J90" i="9"/>
  <c r="K90" i="9" s="1"/>
  <c r="L90" i="9" s="1"/>
  <c r="G90" i="9" s="1"/>
  <c r="J86" i="9"/>
  <c r="K86" i="9" s="1"/>
  <c r="J10" i="9"/>
  <c r="J11" i="9"/>
  <c r="J12" i="9"/>
  <c r="J13" i="9"/>
  <c r="D66" i="9"/>
  <c r="D67" i="9"/>
  <c r="G96" i="9"/>
  <c r="K66" i="9"/>
  <c r="K67" i="9"/>
  <c r="L66" i="9"/>
  <c r="L67" i="9"/>
  <c r="J81" i="10"/>
  <c r="K81" i="10" s="1"/>
  <c r="D91" i="9"/>
  <c r="D92" i="9" s="1"/>
  <c r="J92" i="9" s="1"/>
  <c r="D87" i="10"/>
  <c r="J87" i="10" s="1"/>
  <c r="I53" i="9"/>
  <c r="I54" i="9"/>
  <c r="I58" i="9"/>
  <c r="I59" i="9"/>
  <c r="I60" i="9"/>
  <c r="I62" i="9"/>
  <c r="I63" i="9"/>
  <c r="I69" i="9"/>
  <c r="I70" i="9"/>
  <c r="I73" i="9"/>
  <c r="I74" i="9"/>
  <c r="I77" i="9"/>
  <c r="F51" i="23"/>
  <c r="I69" i="10"/>
  <c r="I72" i="10"/>
  <c r="I67" i="10"/>
  <c r="I64" i="10"/>
  <c r="I63" i="10"/>
  <c r="I57" i="10"/>
  <c r="I56" i="10"/>
  <c r="I54" i="10"/>
  <c r="I53" i="10"/>
  <c r="I52" i="10"/>
  <c r="I48" i="10"/>
  <c r="I47" i="10"/>
  <c r="F9" i="10"/>
  <c r="D21" i="10" s="1"/>
  <c r="D60" i="10"/>
  <c r="D61" i="10"/>
  <c r="D38" i="10"/>
  <c r="J82" i="10"/>
  <c r="K82" i="10" s="1"/>
  <c r="L82" i="10" s="1"/>
  <c r="G82" i="10" s="1"/>
  <c r="J83" i="10"/>
  <c r="K83" i="10" s="1"/>
  <c r="L83" i="10" s="1"/>
  <c r="J84" i="10"/>
  <c r="K84" i="10" s="1"/>
  <c r="L84" i="10" s="1"/>
  <c r="J85" i="10"/>
  <c r="J86" i="10"/>
  <c r="K86" i="10" s="1"/>
  <c r="L86" i="10" s="1"/>
  <c r="G91" i="10"/>
  <c r="J52" i="10"/>
  <c r="J53" i="10"/>
  <c r="J54" i="10"/>
  <c r="J55" i="10"/>
  <c r="J56" i="10"/>
  <c r="J57" i="10"/>
  <c r="K60" i="10"/>
  <c r="K61" i="10"/>
  <c r="J63" i="10"/>
  <c r="J64" i="10"/>
  <c r="J65" i="10"/>
  <c r="J66" i="10"/>
  <c r="J67" i="10"/>
  <c r="J69" i="10"/>
  <c r="J70" i="10"/>
  <c r="J71" i="10"/>
  <c r="J73" i="10"/>
  <c r="L60" i="10"/>
  <c r="L61" i="10"/>
  <c r="F21" i="23"/>
  <c r="D44" i="9"/>
  <c r="D36" i="11"/>
  <c r="D37" i="11"/>
  <c r="J67" i="9"/>
  <c r="J61" i="10"/>
  <c r="G89" i="11"/>
  <c r="K45" i="11" s="1"/>
  <c r="L45" i="11" s="1"/>
  <c r="G87" i="12"/>
  <c r="K65" i="12" s="1"/>
  <c r="L57" i="12"/>
  <c r="K57" i="12"/>
  <c r="J57" i="12"/>
  <c r="D57" i="12"/>
  <c r="L59" i="11"/>
  <c r="K59" i="11"/>
  <c r="J59" i="11"/>
  <c r="D59" i="11"/>
  <c r="J66" i="9"/>
  <c r="J60" i="10"/>
  <c r="D34" i="12"/>
  <c r="D37" i="10"/>
  <c r="J80" i="11"/>
  <c r="K80" i="11" s="1"/>
  <c r="L80" i="11" s="1"/>
  <c r="J81" i="11"/>
  <c r="K81" i="11" s="1"/>
  <c r="J82" i="11"/>
  <c r="K82" i="11" s="1"/>
  <c r="L82" i="11" s="1"/>
  <c r="J83" i="11"/>
  <c r="K83" i="11" s="1"/>
  <c r="L83" i="11" s="1"/>
  <c r="J84" i="11"/>
  <c r="K84" i="11" s="1"/>
  <c r="L84" i="11" s="1"/>
  <c r="J11" i="11"/>
  <c r="J12" i="11"/>
  <c r="J13" i="11"/>
  <c r="J51" i="11"/>
  <c r="J52" i="11"/>
  <c r="J53" i="11"/>
  <c r="J54" i="11"/>
  <c r="J55" i="11"/>
  <c r="J56" i="11"/>
  <c r="J60" i="11"/>
  <c r="K60" i="11" s="1"/>
  <c r="L60" i="11" s="1"/>
  <c r="J61" i="11"/>
  <c r="K61" i="11" s="1"/>
  <c r="L61" i="11" s="1"/>
  <c r="J62" i="11"/>
  <c r="J63" i="11"/>
  <c r="J64" i="11"/>
  <c r="J65" i="11"/>
  <c r="J66" i="11"/>
  <c r="J68" i="11"/>
  <c r="J69" i="11"/>
  <c r="J71" i="11"/>
  <c r="J58" i="9"/>
  <c r="J59" i="9"/>
  <c r="J60" i="9"/>
  <c r="J61" i="9"/>
  <c r="J62" i="9"/>
  <c r="J63" i="9"/>
  <c r="J68" i="9"/>
  <c r="J69" i="9"/>
  <c r="J70" i="9"/>
  <c r="J71" i="9"/>
  <c r="J72" i="9"/>
  <c r="J73" i="9"/>
  <c r="J75" i="9"/>
  <c r="J76" i="9"/>
  <c r="J78" i="9"/>
  <c r="D14" i="9"/>
  <c r="F14" i="9"/>
  <c r="J82" i="12"/>
  <c r="K82" i="12" s="1"/>
  <c r="L82" i="12" s="1"/>
  <c r="J81" i="12"/>
  <c r="K81" i="12" s="1"/>
  <c r="L81" i="12" s="1"/>
  <c r="J80" i="12"/>
  <c r="K80" i="12" s="1"/>
  <c r="L80" i="12" s="1"/>
  <c r="J79" i="12"/>
  <c r="K79" i="12" s="1"/>
  <c r="L79" i="12" s="1"/>
  <c r="J78" i="12"/>
  <c r="J69" i="12"/>
  <c r="J67" i="12"/>
  <c r="J66" i="12"/>
  <c r="J64" i="12"/>
  <c r="J63" i="12"/>
  <c r="J62" i="12"/>
  <c r="J61" i="12"/>
  <c r="J60" i="12"/>
  <c r="J59" i="12"/>
  <c r="K59" i="12" s="1"/>
  <c r="J58" i="12"/>
  <c r="K58" i="12" s="1"/>
  <c r="L58" i="12" s="1"/>
  <c r="J54" i="12"/>
  <c r="J53" i="12"/>
  <c r="J52" i="12"/>
  <c r="J51" i="12"/>
  <c r="J50" i="12"/>
  <c r="J49" i="12"/>
  <c r="D10" i="10"/>
  <c r="D33" i="12"/>
  <c r="D14" i="11"/>
  <c r="F14" i="11"/>
  <c r="F12" i="12"/>
  <c r="D12" i="12"/>
  <c r="D43" i="9"/>
  <c r="J9" i="10"/>
  <c r="F32" i="9"/>
  <c r="D32" i="9"/>
  <c r="J11" i="12"/>
  <c r="J9" i="12"/>
  <c r="J10" i="12"/>
  <c r="J10" i="11"/>
  <c r="J9" i="11"/>
  <c r="K66" i="10" l="1"/>
  <c r="L66" i="10" s="1"/>
  <c r="G66" i="10" s="1"/>
  <c r="D21" i="12"/>
  <c r="D20" i="12" s="1"/>
  <c r="F10" i="2"/>
  <c r="D56" i="12"/>
  <c r="J56" i="12" s="1"/>
  <c r="J70" i="12" s="1"/>
  <c r="L88" i="9"/>
  <c r="G88" i="9" s="1"/>
  <c r="J91" i="9"/>
  <c r="G82" i="11"/>
  <c r="G61" i="11"/>
  <c r="G79" i="11"/>
  <c r="K85" i="11"/>
  <c r="K71" i="10"/>
  <c r="L71" i="10" s="1"/>
  <c r="G86" i="10"/>
  <c r="G79" i="12"/>
  <c r="K68" i="9"/>
  <c r="L68" i="9" s="1"/>
  <c r="L65" i="9" s="1"/>
  <c r="K85" i="10"/>
  <c r="L85" i="10" s="1"/>
  <c r="L87" i="10" s="1"/>
  <c r="L86" i="9"/>
  <c r="G86" i="9" s="1"/>
  <c r="L81" i="10"/>
  <c r="G81" i="10" s="1"/>
  <c r="L59" i="12"/>
  <c r="L56" i="12" s="1"/>
  <c r="G89" i="9"/>
  <c r="L77" i="12"/>
  <c r="G77" i="12" s="1"/>
  <c r="G82" i="12"/>
  <c r="G83" i="10"/>
  <c r="G84" i="11"/>
  <c r="G84" i="10"/>
  <c r="G81" i="12"/>
  <c r="L87" i="9"/>
  <c r="G87" i="9" s="1"/>
  <c r="K78" i="12"/>
  <c r="D24" i="10"/>
  <c r="L81" i="11"/>
  <c r="G81" i="11" s="1"/>
  <c r="D58" i="11"/>
  <c r="J58" i="11" s="1"/>
  <c r="J72" i="11" s="1"/>
  <c r="G80" i="12"/>
  <c r="G80" i="11"/>
  <c r="K53" i="10"/>
  <c r="L53" i="10" s="1"/>
  <c r="G53" i="10" s="1"/>
  <c r="K68" i="10"/>
  <c r="L68" i="10" s="1"/>
  <c r="K47" i="10"/>
  <c r="L47" i="10" s="1"/>
  <c r="K46" i="10"/>
  <c r="L46" i="10" s="1"/>
  <c r="K58" i="10"/>
  <c r="L58" i="10" s="1"/>
  <c r="G83" i="11"/>
  <c r="D23" i="10"/>
  <c r="D22" i="10"/>
  <c r="K64" i="12"/>
  <c r="L64" i="12" s="1"/>
  <c r="G64" i="12" s="1"/>
  <c r="K63" i="9"/>
  <c r="L63" i="9" s="1"/>
  <c r="G63" i="9" s="1"/>
  <c r="K58" i="9"/>
  <c r="L58" i="9" s="1"/>
  <c r="I55" i="9"/>
  <c r="I83" i="12"/>
  <c r="F52" i="23"/>
  <c r="I48" i="11"/>
  <c r="I49" i="10"/>
  <c r="I46" i="12"/>
  <c r="K58" i="11"/>
  <c r="K54" i="12"/>
  <c r="L54" i="12" s="1"/>
  <c r="G54" i="12" s="1"/>
  <c r="D65" i="9"/>
  <c r="D79" i="9" s="1"/>
  <c r="K69" i="12"/>
  <c r="L69" i="12" s="1"/>
  <c r="K68" i="12"/>
  <c r="L68" i="12" s="1"/>
  <c r="G68" i="12" s="1"/>
  <c r="K54" i="10"/>
  <c r="L54" i="10" s="1"/>
  <c r="K56" i="12"/>
  <c r="K62" i="12"/>
  <c r="L62" i="12" s="1"/>
  <c r="K44" i="12"/>
  <c r="L44" i="12" s="1"/>
  <c r="K61" i="12"/>
  <c r="L61" i="12" s="1"/>
  <c r="G61" i="12" s="1"/>
  <c r="L58" i="11"/>
  <c r="I74" i="10"/>
  <c r="I79" i="9"/>
  <c r="I72" i="11"/>
  <c r="I70" i="12"/>
  <c r="I85" i="11"/>
  <c r="F24" i="11"/>
  <c r="K70" i="10"/>
  <c r="L70" i="10" s="1"/>
  <c r="G70" i="10" s="1"/>
  <c r="K64" i="10"/>
  <c r="L64" i="10" s="1"/>
  <c r="K52" i="10"/>
  <c r="L52" i="10" s="1"/>
  <c r="K67" i="10"/>
  <c r="L67" i="10" s="1"/>
  <c r="G67" i="10" s="1"/>
  <c r="K56" i="10"/>
  <c r="L56" i="10" s="1"/>
  <c r="K61" i="9"/>
  <c r="L61" i="9" s="1"/>
  <c r="K73" i="10"/>
  <c r="L73" i="10" s="1"/>
  <c r="G73" i="10" s="1"/>
  <c r="K55" i="10"/>
  <c r="L55" i="10" s="1"/>
  <c r="K63" i="11"/>
  <c r="L63" i="11" s="1"/>
  <c r="G63" i="11" s="1"/>
  <c r="K53" i="11"/>
  <c r="L53" i="11" s="1"/>
  <c r="G53" i="11" s="1"/>
  <c r="K69" i="11"/>
  <c r="K66" i="11"/>
  <c r="K62" i="11"/>
  <c r="L62" i="11" s="1"/>
  <c r="G62" i="11" s="1"/>
  <c r="K56" i="11"/>
  <c r="L56" i="11" s="1"/>
  <c r="G56" i="11" s="1"/>
  <c r="K52" i="11"/>
  <c r="L52" i="11" s="1"/>
  <c r="G52" i="11" s="1"/>
  <c r="K69" i="10"/>
  <c r="K65" i="10"/>
  <c r="K55" i="11"/>
  <c r="L55" i="11" s="1"/>
  <c r="G55" i="11" s="1"/>
  <c r="K78" i="9"/>
  <c r="K59" i="9"/>
  <c r="L59" i="9" s="1"/>
  <c r="G59" i="9" s="1"/>
  <c r="K71" i="11"/>
  <c r="K54" i="11"/>
  <c r="K63" i="10"/>
  <c r="L63" i="10" s="1"/>
  <c r="G63" i="10" s="1"/>
  <c r="K76" i="9"/>
  <c r="L76" i="9" s="1"/>
  <c r="G76" i="9" s="1"/>
  <c r="K68" i="11"/>
  <c r="L68" i="11" s="1"/>
  <c r="G68" i="11" s="1"/>
  <c r="K51" i="11"/>
  <c r="L51" i="11" s="1"/>
  <c r="G51" i="11" s="1"/>
  <c r="K65" i="11"/>
  <c r="K67" i="11"/>
  <c r="K46" i="11"/>
  <c r="K72" i="10"/>
  <c r="K57" i="10"/>
  <c r="L57" i="10" s="1"/>
  <c r="K75" i="9"/>
  <c r="L75" i="9" s="1"/>
  <c r="G75" i="9" s="1"/>
  <c r="K52" i="9"/>
  <c r="L52" i="9" s="1"/>
  <c r="K70" i="11"/>
  <c r="L70" i="11" s="1"/>
  <c r="G70" i="11" s="1"/>
  <c r="K57" i="11"/>
  <c r="L57" i="11" s="1"/>
  <c r="K70" i="9"/>
  <c r="L70" i="9" s="1"/>
  <c r="K64" i="11"/>
  <c r="L64" i="11" s="1"/>
  <c r="G64" i="11" s="1"/>
  <c r="L65" i="12"/>
  <c r="G65" i="12" s="1"/>
  <c r="G45" i="11"/>
  <c r="D24" i="11"/>
  <c r="K53" i="12"/>
  <c r="K67" i="12"/>
  <c r="K71" i="9"/>
  <c r="K62" i="9"/>
  <c r="K53" i="9"/>
  <c r="K50" i="12"/>
  <c r="K77" i="9"/>
  <c r="K69" i="9"/>
  <c r="K60" i="9"/>
  <c r="K51" i="12"/>
  <c r="K52" i="12"/>
  <c r="K74" i="9"/>
  <c r="K55" i="12"/>
  <c r="K60" i="12"/>
  <c r="K66" i="12"/>
  <c r="K73" i="9"/>
  <c r="K64" i="9"/>
  <c r="K63" i="12"/>
  <c r="K49" i="12"/>
  <c r="K72" i="9"/>
  <c r="D41" i="12" l="1"/>
  <c r="D45" i="12" s="1"/>
  <c r="K87" i="10"/>
  <c r="G87" i="10" s="1"/>
  <c r="G68" i="10"/>
  <c r="D70" i="12"/>
  <c r="G85" i="10"/>
  <c r="G71" i="10"/>
  <c r="K65" i="9"/>
  <c r="D44" i="10"/>
  <c r="D48" i="10" s="1"/>
  <c r="K91" i="9"/>
  <c r="G68" i="9"/>
  <c r="G58" i="10"/>
  <c r="G46" i="10"/>
  <c r="G54" i="10"/>
  <c r="L78" i="12"/>
  <c r="L83" i="12" s="1"/>
  <c r="K83" i="12"/>
  <c r="G59" i="12"/>
  <c r="D72" i="11"/>
  <c r="L85" i="11"/>
  <c r="G85" i="11" s="1"/>
  <c r="G57" i="10"/>
  <c r="D62" i="10"/>
  <c r="J65" i="9"/>
  <c r="J79" i="9" s="1"/>
  <c r="G58" i="11"/>
  <c r="I72" i="12"/>
  <c r="I73" i="12" s="1"/>
  <c r="I74" i="12" s="1"/>
  <c r="I74" i="11"/>
  <c r="I75" i="11" s="1"/>
  <c r="I76" i="11" s="1"/>
  <c r="I87" i="11" s="1"/>
  <c r="I81" i="9"/>
  <c r="I82" i="9" s="1"/>
  <c r="I76" i="10"/>
  <c r="G62" i="12"/>
  <c r="G52" i="10"/>
  <c r="G47" i="10"/>
  <c r="G64" i="10"/>
  <c r="G44" i="12"/>
  <c r="G56" i="12"/>
  <c r="G69" i="12"/>
  <c r="G55" i="10"/>
  <c r="K72" i="11"/>
  <c r="G61" i="9"/>
  <c r="G57" i="11"/>
  <c r="G58" i="9"/>
  <c r="G70" i="9"/>
  <c r="L66" i="11"/>
  <c r="G66" i="11" s="1"/>
  <c r="G52" i="9"/>
  <c r="L71" i="11"/>
  <c r="G71" i="11" s="1"/>
  <c r="L69" i="11"/>
  <c r="G69" i="11" s="1"/>
  <c r="L72" i="10"/>
  <c r="G72" i="10" s="1"/>
  <c r="L54" i="11"/>
  <c r="G54" i="11" s="1"/>
  <c r="L65" i="10"/>
  <c r="G65" i="10" s="1"/>
  <c r="L65" i="11"/>
  <c r="G65" i="11" s="1"/>
  <c r="L46" i="11"/>
  <c r="G46" i="11" s="1"/>
  <c r="L78" i="9"/>
  <c r="G78" i="9" s="1"/>
  <c r="L69" i="10"/>
  <c r="G69" i="10" s="1"/>
  <c r="L67" i="11"/>
  <c r="G67" i="11" s="1"/>
  <c r="L73" i="9"/>
  <c r="G73" i="9" s="1"/>
  <c r="L62" i="9"/>
  <c r="G62" i="9" s="1"/>
  <c r="L72" i="9"/>
  <c r="G72" i="9" s="1"/>
  <c r="L71" i="9"/>
  <c r="G71" i="9" s="1"/>
  <c r="L51" i="12"/>
  <c r="G51" i="12" s="1"/>
  <c r="F21" i="11"/>
  <c r="F20" i="11"/>
  <c r="F11" i="2"/>
  <c r="F23" i="11"/>
  <c r="D21" i="11"/>
  <c r="F7" i="2" s="1"/>
  <c r="L49" i="12"/>
  <c r="G49" i="12" s="1"/>
  <c r="K70" i="12"/>
  <c r="G56" i="10"/>
  <c r="L52" i="12"/>
  <c r="G52" i="12" s="1"/>
  <c r="L66" i="12"/>
  <c r="G66" i="12" s="1"/>
  <c r="L50" i="12"/>
  <c r="G50" i="12" s="1"/>
  <c r="L67" i="12"/>
  <c r="G67" i="12" s="1"/>
  <c r="L60" i="12"/>
  <c r="G60" i="12" s="1"/>
  <c r="L63" i="12"/>
  <c r="G63" i="12" s="1"/>
  <c r="L55" i="12"/>
  <c r="G55" i="12" s="1"/>
  <c r="L53" i="12"/>
  <c r="G53" i="12" s="1"/>
  <c r="L77" i="9"/>
  <c r="G77" i="9" s="1"/>
  <c r="K79" i="9"/>
  <c r="L74" i="9"/>
  <c r="G74" i="9" s="1"/>
  <c r="L60" i="9"/>
  <c r="L64" i="9"/>
  <c r="G64" i="9" s="1"/>
  <c r="L69" i="9"/>
  <c r="G69" i="9" s="1"/>
  <c r="L53" i="9"/>
  <c r="G53" i="9" s="1"/>
  <c r="J41" i="12" l="1"/>
  <c r="J42" i="12" s="1"/>
  <c r="D42" i="12"/>
  <c r="D46" i="12" s="1"/>
  <c r="D72" i="12" s="1"/>
  <c r="D73" i="12" s="1"/>
  <c r="G65" i="9"/>
  <c r="J44" i="10"/>
  <c r="D45" i="10"/>
  <c r="D49" i="10" s="1"/>
  <c r="G78" i="12"/>
  <c r="L91" i="9"/>
  <c r="K92" i="9"/>
  <c r="G83" i="12"/>
  <c r="J62" i="10"/>
  <c r="D59" i="10"/>
  <c r="I77" i="10"/>
  <c r="I78" i="10" s="1"/>
  <c r="I89" i="10" s="1"/>
  <c r="I85" i="12"/>
  <c r="I83" i="9"/>
  <c r="I94" i="9" s="1"/>
  <c r="L72" i="11"/>
  <c r="G72" i="11" s="1"/>
  <c r="F9" i="2"/>
  <c r="L79" i="9"/>
  <c r="G79" i="9" s="1"/>
  <c r="G60" i="9"/>
  <c r="L70" i="12"/>
  <c r="G70" i="12" s="1"/>
  <c r="D43" i="11"/>
  <c r="K41" i="12" l="1"/>
  <c r="K42" i="12" s="1"/>
  <c r="L92" i="9"/>
  <c r="G92" i="9" s="1"/>
  <c r="G91" i="9"/>
  <c r="J45" i="10"/>
  <c r="K44" i="10"/>
  <c r="J59" i="10"/>
  <c r="D74" i="10"/>
  <c r="D76" i="10" s="1"/>
  <c r="D77" i="10" s="1"/>
  <c r="K62" i="10"/>
  <c r="D44" i="11"/>
  <c r="J43" i="11"/>
  <c r="J44" i="11" s="1"/>
  <c r="D74" i="12"/>
  <c r="D47" i="11"/>
  <c r="L41" i="12" l="1"/>
  <c r="L42" i="12" s="1"/>
  <c r="G42" i="12" s="1"/>
  <c r="L44" i="10"/>
  <c r="K45" i="10"/>
  <c r="G41" i="12"/>
  <c r="L62" i="10"/>
  <c r="K59" i="10"/>
  <c r="K74" i="10" s="1"/>
  <c r="J74" i="10"/>
  <c r="D85" i="12"/>
  <c r="D78" i="10"/>
  <c r="D48" i="11"/>
  <c r="D74" i="11" s="1"/>
  <c r="K43" i="11"/>
  <c r="K44" i="11" s="1"/>
  <c r="L45" i="10" l="1"/>
  <c r="G45" i="10" s="1"/>
  <c r="G44" i="10"/>
  <c r="L59" i="10"/>
  <c r="G62" i="10"/>
  <c r="D89" i="10"/>
  <c r="L43" i="11"/>
  <c r="L44" i="11" s="1"/>
  <c r="D75" i="11"/>
  <c r="L74" i="10" l="1"/>
  <c r="G74" i="10" s="1"/>
  <c r="G59" i="10"/>
  <c r="D76" i="11"/>
  <c r="G44" i="11"/>
  <c r="G43" i="11"/>
  <c r="D87" i="11" l="1"/>
  <c r="J9" i="9" l="1"/>
  <c r="F25" i="9" s="1"/>
  <c r="D25" i="9" l="1"/>
  <c r="F20" i="9" s="1"/>
  <c r="D24" i="9" l="1"/>
  <c r="D21" i="9"/>
  <c r="F24" i="9"/>
  <c r="F21" i="9"/>
  <c r="D50" i="9" l="1"/>
  <c r="D51" i="9" s="1"/>
  <c r="H48" i="10" l="1"/>
  <c r="H45" i="12"/>
  <c r="H54" i="9"/>
  <c r="H55" i="9" s="1"/>
  <c r="H81" i="9" s="1"/>
  <c r="H82" i="9" s="1"/>
  <c r="H83" i="9" s="1"/>
  <c r="D54" i="9"/>
  <c r="D55" i="9" s="1"/>
  <c r="D81" i="9" s="1"/>
  <c r="J50" i="9"/>
  <c r="J51" i="9" s="1"/>
  <c r="J54" i="9" l="1"/>
  <c r="K54" i="9" s="1"/>
  <c r="L54" i="9" s="1"/>
  <c r="J48" i="10"/>
  <c r="H49" i="10"/>
  <c r="H76" i="10" s="1"/>
  <c r="H77" i="10" s="1"/>
  <c r="H78" i="10" s="1"/>
  <c r="H46" i="12"/>
  <c r="H72" i="12" s="1"/>
  <c r="H73" i="12" s="1"/>
  <c r="H74" i="12" s="1"/>
  <c r="J45" i="12"/>
  <c r="H48" i="11"/>
  <c r="H74" i="11" s="1"/>
  <c r="H75" i="11" s="1"/>
  <c r="H76" i="11" s="1"/>
  <c r="J47" i="11"/>
  <c r="K50" i="9"/>
  <c r="K51" i="9" s="1"/>
  <c r="D82" i="9"/>
  <c r="D83" i="9" s="1"/>
  <c r="J55" i="9" l="1"/>
  <c r="J81" i="9" s="1"/>
  <c r="J82" i="9" s="1"/>
  <c r="J83" i="9" s="1"/>
  <c r="G54" i="9"/>
  <c r="J48" i="11"/>
  <c r="K47" i="11"/>
  <c r="J46" i="12"/>
  <c r="J72" i="12" s="1"/>
  <c r="J73" i="12" s="1"/>
  <c r="J74" i="12" s="1"/>
  <c r="K45" i="12"/>
  <c r="L45" i="12" s="1"/>
  <c r="G45" i="12" s="1"/>
  <c r="J49" i="10"/>
  <c r="K48" i="10"/>
  <c r="L50" i="9"/>
  <c r="G50" i="9" s="1"/>
  <c r="K55" i="9"/>
  <c r="D94" i="9"/>
  <c r="J94" i="9" l="1"/>
  <c r="L48" i="10"/>
  <c r="L49" i="10" s="1"/>
  <c r="L76" i="10" s="1"/>
  <c r="L77" i="10" s="1"/>
  <c r="L78" i="10" s="1"/>
  <c r="L89" i="10" s="1"/>
  <c r="K49" i="10"/>
  <c r="K76" i="10" s="1"/>
  <c r="K77" i="10" s="1"/>
  <c r="K78" i="10" s="1"/>
  <c r="K89" i="10" s="1"/>
  <c r="J76" i="10"/>
  <c r="J85" i="12"/>
  <c r="L47" i="11"/>
  <c r="K48" i="11"/>
  <c r="K74" i="11" s="1"/>
  <c r="J74" i="11"/>
  <c r="L51" i="9"/>
  <c r="G51" i="9" s="1"/>
  <c r="K81" i="9"/>
  <c r="K82" i="9" s="1"/>
  <c r="G48" i="10" l="1"/>
  <c r="G49" i="10"/>
  <c r="J77" i="10"/>
  <c r="G77" i="10" s="1"/>
  <c r="G76" i="10"/>
  <c r="G47" i="11"/>
  <c r="L48" i="11"/>
  <c r="L74" i="11" s="1"/>
  <c r="L75" i="11" s="1"/>
  <c r="L76" i="11" s="1"/>
  <c r="L87" i="11" s="1"/>
  <c r="J75" i="11"/>
  <c r="K75" i="11"/>
  <c r="K76" i="11" s="1"/>
  <c r="K87" i="11" s="1"/>
  <c r="L55" i="9"/>
  <c r="L81" i="9" s="1"/>
  <c r="L82" i="9" s="1"/>
  <c r="L83" i="9" s="1"/>
  <c r="L94" i="9" s="1"/>
  <c r="G74" i="11" l="1"/>
  <c r="G48" i="11"/>
  <c r="J78" i="10"/>
  <c r="J76" i="11"/>
  <c r="G75" i="11"/>
  <c r="G81" i="9"/>
  <c r="G55" i="9"/>
  <c r="K83" i="9"/>
  <c r="G82" i="9"/>
  <c r="J89" i="10" l="1"/>
  <c r="G89" i="10" s="1"/>
  <c r="G78" i="10"/>
  <c r="J87" i="11"/>
  <c r="G87" i="11" s="1"/>
  <c r="F8" i="2"/>
  <c r="G76" i="11"/>
  <c r="K94" i="9"/>
  <c r="G94" i="9" s="1"/>
  <c r="G83" i="9"/>
  <c r="F13" i="2" l="1"/>
  <c r="F14" i="2"/>
  <c r="F12" i="2"/>
  <c r="K43" i="12"/>
  <c r="K46" i="12" l="1"/>
  <c r="K72" i="12" s="1"/>
  <c r="K73" i="12" s="1"/>
  <c r="L43" i="12"/>
  <c r="L46" i="12" s="1"/>
  <c r="L72" i="12" s="1"/>
  <c r="L73" i="12" s="1"/>
  <c r="G72" i="12" l="1"/>
  <c r="K74" i="12"/>
  <c r="L74" i="12"/>
  <c r="L85" i="12" s="1"/>
  <c r="G73" i="12"/>
  <c r="G46" i="12"/>
  <c r="G43" i="12"/>
  <c r="G74" i="12" l="1"/>
  <c r="K85" i="12"/>
  <c r="G85"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Cheryl Winter</author>
  </authors>
  <commentList>
    <comment ref="F41" authorId="0" shapeId="0" xr:uid="{00000000-0006-0000-0800-000001000000}">
      <text>
        <r>
          <rPr>
            <b/>
            <sz val="9"/>
            <color indexed="81"/>
            <rFont val="Tahoma"/>
            <family val="2"/>
          </rPr>
          <t>Cheryl Winter:</t>
        </r>
        <r>
          <rPr>
            <sz val="9"/>
            <color indexed="81"/>
            <rFont val="Tahoma"/>
            <family val="2"/>
          </rPr>
          <t xml:space="preserve">
G Suite for non profits charges between $8-25 per user per month, up to $300 per staff member per year for email encryption.</t>
        </r>
      </text>
    </comment>
  </commentList>
</comments>
</file>

<file path=xl/sharedStrings.xml><?xml version="1.0" encoding="utf-8"?>
<sst xmlns="http://schemas.openxmlformats.org/spreadsheetml/2006/main" count="943" uniqueCount="406">
  <si>
    <t>About the CSH Services Budget Tool 2.0 (SBT 2.0)</t>
  </si>
  <si>
    <t>This budget planning tool is intended to provide communities and organizations with a framework for understanding and planning for service costs in supportive housing. There are 5 drivers that will impact program budget planning. 
1. Target populations to be served in supportive housing 
2. Services Staffing Model- for ND Housing Support Services (HSS) evidence based Tenancy Support Services (TSS) model assumptions are used
3. Housing Model (site-based or scattered site)
4. Start Up Costs                                                                                                                                                                                                                                                                                                                                                                                                                                                                                        5. Revenue Structure &amp; Reimbursement Restrictions</t>
  </si>
  <si>
    <t>Introduction and Quick Links</t>
  </si>
  <si>
    <t>Click on any box below to take you to the corresponding weblink</t>
  </si>
  <si>
    <t xml:space="preserve"> </t>
  </si>
  <si>
    <t>CSH recommends the additional considerations when using this tool:</t>
  </si>
  <si>
    <t>1. Organizations should be reviewing salary scales every 3-5 years in  your local area to ensure budgeted salaries are meeting or exceeding the local labor market standards.</t>
  </si>
  <si>
    <t>2. As organizations explore a varierty of reimbursement strategies, one rate structure alone is unlikely to be sufficient for meeting all program costs due to funding restrictions and other limitations.</t>
  </si>
  <si>
    <t>3. This tool includes recommended caseload sizes as indicated by evidence based practice.  You may add populations or adjust caseload sizes as needed for your organization's program or specific model.</t>
  </si>
  <si>
    <t>Notes:</t>
  </si>
  <si>
    <t>Blue boxes indicate inputs that impact formulas and outputs in the Budget Summary tab - please change these cells to desired values.</t>
  </si>
  <si>
    <t>Green boxes indicate outputs linked from other cells' inputs - please do NOT change these cells.</t>
  </si>
  <si>
    <t>White boxes indicate budget item descriptions and program specific information that CAN be changed (optional)- please change these cells to match the terminology you use to describe your program staff and budget items.</t>
  </si>
  <si>
    <t>All figures are examples only. Salaries are based on national averages for similar positions and intended to be changed to local estimates by the user. Caseloads and other assumptions are based on best practice drawn from Evidence-Based Practice and promising practices for supportive housing serving the most vulnerable populations within a community.</t>
  </si>
  <si>
    <t>Questions?</t>
  </si>
  <si>
    <t xml:space="preserve">Please direct all questions and concerns about the model structure to Marcella Maguire  @  Marcella.Maguire@csh.org. </t>
  </si>
  <si>
    <t>© CSH 2021</t>
  </si>
  <si>
    <t>Budget Summary Output</t>
  </si>
  <si>
    <t>The Budget Summary Output tab is intended to serve as the landing page of cost summaries by staffing model. The information in the green cells below are calculated from data entered into tabs 3-9 that then generate the totals in Columns D-G.</t>
  </si>
  <si>
    <t>CSH's full Services Budget Tool includes materials on other program models such as ACT, ICM and CTI. For more information, check out</t>
  </si>
  <si>
    <t xml:space="preserve"> https://www.csh.org/resources/supportive-housing-services-budgeting-tool/  </t>
  </si>
  <si>
    <t>Summary Table Based on Inputs (Staffing Model Tabs 3-6)</t>
  </si>
  <si>
    <t>Assertive Community Treatment</t>
  </si>
  <si>
    <t>Intensive Case Management</t>
  </si>
  <si>
    <t xml:space="preserve">Housing Support Services (HSS) </t>
  </si>
  <si>
    <t>Critical Time Intervention</t>
  </si>
  <si>
    <t>Number of FTE Employees</t>
  </si>
  <si>
    <t>Annual Program Budget (Year 1)</t>
  </si>
  <si>
    <t>Start Up Costs</t>
  </si>
  <si>
    <t>Total Number of Tenants</t>
  </si>
  <si>
    <t>Total Units of Service, based on a standard 15 minute unit of service</t>
  </si>
  <si>
    <t>Cost Per Unit</t>
  </si>
  <si>
    <t>Per Tenant Per Month Cost</t>
  </si>
  <si>
    <t>Per Tenant Per Year Cost</t>
  </si>
  <si>
    <t>See Tab 3. Basic Inputs &amp; Assumptions for further detail</t>
  </si>
  <si>
    <t>Basic Inputs and Assumptions</t>
  </si>
  <si>
    <t>The Basic Inputs and Assumptions tab allows the user the option to change certain caseload, staffing, transportation, inflation and other budget assumptions built into the tool. These cells have been pre-filled based on HSS.</t>
  </si>
  <si>
    <t>Basic Inputs</t>
  </si>
  <si>
    <t>Is this a new supportive housing project or program? (ie. New staff and/or new tenants to supportive housing). This impacts initial case load sizes.</t>
  </si>
  <si>
    <t>Yes</t>
  </si>
  <si>
    <t>Do you want to include general start up costs in your budget summary?</t>
  </si>
  <si>
    <t>Review General Start up Cost WorkSheet</t>
  </si>
  <si>
    <t>Do you want to include Medicaid provider costs in your budget summary?</t>
  </si>
  <si>
    <t>Review New Medicaid Provider Costs WorkSheet</t>
  </si>
  <si>
    <t>Include the Following Service Staffing Models in the Budget Summary Output Tab?</t>
  </si>
  <si>
    <t>Follow link to Staffing Model Budget Tab</t>
  </si>
  <si>
    <t>Want to explore the Staffing Models more?</t>
  </si>
  <si>
    <t>Housing Stabilization Services (HSS) also referred to as Tenancy Supports (TSS) outside of Minnesota.</t>
  </si>
  <si>
    <t>Review HSS staffing and budget model</t>
  </si>
  <si>
    <t>About the HSS Staffing Model</t>
  </si>
  <si>
    <t>Budget Assumptions</t>
  </si>
  <si>
    <t>Input for tailoring</t>
  </si>
  <si>
    <t>Administrative/indirect rates are 15%</t>
  </si>
  <si>
    <t xml:space="preserve">Transportation costs are a necessary budget component for scattered site. For agencies unsure of miles traveled per month, CSH recommends budgeting 20 miles per day per staff for scattered site. </t>
  </si>
  <si>
    <t>Site based mileage varies greatly depending on the breadth of service coordination and transportation offered.   CSH recommends up to 5 miles per day for site based transportation for service coordination (social security appointments, outreach, medical and social service appointments, support accessing other services).</t>
  </si>
  <si>
    <t xml:space="preserve">The 2020 Federal Mileage reimbursement rate is $.575 per mile. </t>
  </si>
  <si>
    <t xml:space="preserve">Annual inflation is currently set to assume a 2.5% increase in costs each year. </t>
  </si>
  <si>
    <t xml:space="preserve">Staff training, professional development and appreciation costs are recommended to be between 1%-3% of your staff wages. CSH recommends beginning with at least 1.5% and increasing based on workforce needs. </t>
  </si>
  <si>
    <t>Employee benefits rate</t>
  </si>
  <si>
    <t>Caseload Assumptions Used in Model</t>
  </si>
  <si>
    <t>ACT Caseload</t>
  </si>
  <si>
    <t>Scattered Site Case Load</t>
  </si>
  <si>
    <t>Single Site Case Load</t>
  </si>
  <si>
    <t>Existing Program</t>
  </si>
  <si>
    <t>ACT Target Populations include: people with serious mental illness, most often those with co-occurring substance use disorders and/or multiple other chronic health conditions. Program fidelity does not advise changing case load sizes for ACT.</t>
  </si>
  <si>
    <t>ICM Caseloads</t>
  </si>
  <si>
    <t>Target population</t>
  </si>
  <si>
    <t xml:space="preserve">Individuals </t>
  </si>
  <si>
    <t>Families</t>
  </si>
  <si>
    <t>Individuals with dual dx SUD/SMI</t>
  </si>
  <si>
    <t>Individuals with ID/DD</t>
  </si>
  <si>
    <t>Older adults</t>
  </si>
  <si>
    <t>Transition Age Youth</t>
  </si>
  <si>
    <t>Housing Stabilization Services Caseloads</t>
  </si>
  <si>
    <t>CTI Caseloads</t>
  </si>
  <si>
    <t>Existing Program Team</t>
  </si>
  <si>
    <t>Supervisor to supervisee ratio</t>
  </si>
  <si>
    <t>Recommended 1:8</t>
  </si>
  <si>
    <t>Number of staff supervised by one supervisor</t>
  </si>
  <si>
    <t>Program Assumptions</t>
  </si>
  <si>
    <t xml:space="preserve">People with lived experience can and should be hired in all roles.  This budget tool recognizes models with positions that require someone with lived experience. </t>
  </si>
  <si>
    <t>Productivity is defined as time spent on behalf of the client directly or with collateral contacts. Time spent on training or admin is not included in productivity. This definition of productivity is not related to Medicaid Billing. </t>
  </si>
  <si>
    <t>Administrative and Director roles are not included in any productivity and unit of service calculations.</t>
  </si>
  <si>
    <t xml:space="preserve">For ACT, productivity calculation and units of service calculations is assumed at 50% for the team lead. The pyschiatrist was not included in productivity calculations. </t>
  </si>
  <si>
    <t xml:space="preserve">Medicaid Billing for travel is not allowed, you can find additional information on billing and CMS guidance at https://www.cms.gov/Regulations-and-     Guidance/Legislation/DeficitReductionAct/downloads/cm_ta_tool.pdf  </t>
  </si>
  <si>
    <t>For Medicaid Billing, it may be helpful to think about Medicaid Billiable Activities as well as Medicaid Billable Staff.</t>
  </si>
  <si>
    <t>This worksheet is using the assumption that Housing Stabilization Services will need lower caseload ratios, as many supportive housing programs are serving tenants with increasingly complex needs through coordinated entry.</t>
  </si>
  <si>
    <t xml:space="preserve">The recommended ratio for supervisors is 1:8 for HSS. </t>
  </si>
  <si>
    <t>Assertive Community Treatment (ACT) Staffing &amp; Budget Model</t>
  </si>
  <si>
    <t>About the Assertive Community Treatment (ACT) Staffing Model for housing-related services and supports:</t>
  </si>
  <si>
    <t>Developed in the early 1970's, Assertive Community Treatment, or ACT, is an intensive, team-based, multi-disciplinary approach for community mental health services that can include housing-related supports. ACT teams serve individuals with serious and persistent forms of mental illness, including schizophrenia spectrum disorders, bipolar and major depression, personality disorders, and anxiety disorders like PTSD. As a multi-disciplinary approach, ACT teams share a caseload of 100 clients across the team. Intended to be a "one stop shop" for outpatient mental health services, ACT teams require high levels of coordination and provide a comprehensive array of services that focus on recovery, rehabilitation, and improved functioning in activities of daily living, including housing stability. ACT teams include specialists with backgrounds in mental health and psychiatry, nursing, employment, housing, substance use treatment, legal services and benefits access, and care coordination with specialty providers. ACT is an evidence-based practice with strong evidence of reducing hospitalizations and increasing housing stability when programs align with fidelity standards. Both Dartmouth University and the U.S. Department of Substance Abuse and Mental Health Services Administration have created fidelity tools for ACT providers to use to ensure quality in practice and outcomes.</t>
  </si>
  <si>
    <t>Click here to view more resources and references on the ACT model</t>
  </si>
  <si>
    <t>1. Please complete the blue boxes below for each target population supported through ACT:</t>
  </si>
  <si>
    <t>Target Population*</t>
  </si>
  <si>
    <t># of tenants**</t>
  </si>
  <si>
    <t>Recommended caseload</t>
  </si>
  <si>
    <t>Recommended FTE CMs</t>
  </si>
  <si>
    <t>Total clients</t>
  </si>
  <si>
    <t xml:space="preserve">* This budget planning tool is limited to populations where evidence-based research is available.  For subpopulations (forensic, youth, etc) or other populations (families) please enter caseload information </t>
  </si>
  <si>
    <t>** Agencies may need to adjust caseload sizes depending on coverage area of the team.</t>
  </si>
  <si>
    <t xml:space="preserve">2a. Please complete the blue boxes below with local HR information. </t>
  </si>
  <si>
    <t>FTE</t>
  </si>
  <si>
    <t>Annual Salary (per FTE)</t>
  </si>
  <si>
    <t>Program Director</t>
  </si>
  <si>
    <t>one of these directors could be a Housing Manager for scattered site</t>
  </si>
  <si>
    <t>Administrative Support</t>
  </si>
  <si>
    <t>Psychiatrist</t>
  </si>
  <si>
    <t>ACT Team Leader (licensed clinical supervisor)</t>
  </si>
  <si>
    <t xml:space="preserve"> SAMSHA recommends a team of 10 to 12 FTE positions with a total caseload of 100 persons. See Reference Tab for additional resources.</t>
  </si>
  <si>
    <t>Mental Health Professional</t>
  </si>
  <si>
    <t>Psychiatric Nurse</t>
  </si>
  <si>
    <t>Employment Specialist</t>
  </si>
  <si>
    <t>Peer Specialist</t>
  </si>
  <si>
    <t>Substance Abuse Specialist</t>
  </si>
  <si>
    <r>
      <rPr>
        <b/>
        <sz val="12"/>
        <color theme="5"/>
        <rFont val="Calibri"/>
        <family val="2"/>
        <scheme val="minor"/>
      </rPr>
      <t>2b.</t>
    </r>
    <r>
      <rPr>
        <b/>
        <sz val="12"/>
        <color theme="1"/>
        <rFont val="Calibri"/>
        <family val="2"/>
        <scheme val="minor"/>
      </rPr>
      <t xml:space="preserve"> </t>
    </r>
    <r>
      <rPr>
        <b/>
        <sz val="12"/>
        <color theme="5"/>
        <rFont val="Calibri"/>
        <family val="2"/>
        <scheme val="minor"/>
      </rPr>
      <t>(OPTIONAL)</t>
    </r>
    <r>
      <rPr>
        <b/>
        <sz val="12"/>
        <color theme="1"/>
        <rFont val="Calibri"/>
        <family val="2"/>
        <scheme val="minor"/>
      </rPr>
      <t xml:space="preserve"> Only complete rows 30-38 if you are planning to be reimbursed by a "fee for service" structure in 15 minute unit increments. Otherwise, leave as is.</t>
    </r>
  </si>
  <si>
    <t>UOS Assumptions for CMs, SWs, and Counselors</t>
  </si>
  <si>
    <t>Recommendations - see 'Assumptions' tab for further information.</t>
  </si>
  <si>
    <t>FTE Hrs/Week</t>
  </si>
  <si>
    <t>We recommend 40 hours/week</t>
  </si>
  <si>
    <t>Units of Service/Hour</t>
  </si>
  <si>
    <t>We recommend 4.0 UOS/Hour if you are using a fee for service reimbursement structure</t>
  </si>
  <si>
    <t>Productivity</t>
  </si>
  <si>
    <t>We recommend 75%</t>
  </si>
  <si>
    <t>Holiday days</t>
  </si>
  <si>
    <t>We recommend at least the 10.0 Federal holiday days</t>
  </si>
  <si>
    <t>PTO days</t>
  </si>
  <si>
    <t>We recommend 20.0 PTO days</t>
  </si>
  <si>
    <t>Personal days</t>
  </si>
  <si>
    <t>We recommend 3.0 personal days</t>
  </si>
  <si>
    <t>Other days off</t>
  </si>
  <si>
    <t>We recommend 1.0 other days off</t>
  </si>
  <si>
    <t>Calculated UOS per FTE</t>
  </si>
  <si>
    <t>Days worked per year</t>
  </si>
  <si>
    <t>3. Please complete the blue boxes in the template budget below:</t>
  </si>
  <si>
    <t>ACT MULTI-YEAR BUDGET*</t>
  </si>
  <si>
    <t>ACT ANNUAL BUDGET without Start Up and Medicaid expenses</t>
  </si>
  <si>
    <t>Total</t>
  </si>
  <si>
    <t>Medicaid (Tab 9 if using)</t>
  </si>
  <si>
    <t xml:space="preserve">Start Up (Tab 8 if using) </t>
  </si>
  <si>
    <t>Year 1</t>
  </si>
  <si>
    <t>Year 2</t>
  </si>
  <si>
    <t>Year 3</t>
  </si>
  <si>
    <t>A. PERSONNEL EXPENSES</t>
  </si>
  <si>
    <t>Wages and Salaries</t>
  </si>
  <si>
    <t>Employee Benefits</t>
  </si>
  <si>
    <t>Contract Personnel</t>
  </si>
  <si>
    <t>Other Personnel Expenses</t>
  </si>
  <si>
    <t>Staff Development &amp; Training</t>
  </si>
  <si>
    <t>See 'Assumptions' tab for further info.</t>
  </si>
  <si>
    <t>Sub-total Personnel Expenses</t>
  </si>
  <si>
    <t>B. OPERATING EXPENSES</t>
  </si>
  <si>
    <t>Rent</t>
  </si>
  <si>
    <t>Utilities</t>
  </si>
  <si>
    <t>Building Insurance</t>
  </si>
  <si>
    <t>Housekeeping</t>
  </si>
  <si>
    <t>Communications (Phone, Data)</t>
  </si>
  <si>
    <t>Office Supplies</t>
  </si>
  <si>
    <t>Profesional Liability Insurance</t>
  </si>
  <si>
    <t>Estimated Mileage</t>
  </si>
  <si>
    <t>Mileage Rate</t>
  </si>
  <si>
    <t>The 2020 federal rate is $0.575 per mile.</t>
  </si>
  <si>
    <t>Est. Miles Per Day Per FTE</t>
  </si>
  <si>
    <t>Est. # FTE Traveling</t>
  </si>
  <si>
    <t>Vehicles</t>
  </si>
  <si>
    <t>Vehicle Insurance</t>
  </si>
  <si>
    <t>Vehicle Expenses (Upkeep)</t>
  </si>
  <si>
    <t>Client Transportation</t>
  </si>
  <si>
    <t>Building Renovations</t>
  </si>
  <si>
    <t>Furnishing/Equipment (EHR or HMIS licenses, computers, desks, chairs, filing, copier)</t>
  </si>
  <si>
    <t>Nursing equipment (e.g., scale, blood-pressure cuffs, stethoscopes, thermometers, injection supplies, etc)</t>
  </si>
  <si>
    <t>Minor Household Equipment</t>
  </si>
  <si>
    <t>Furniture/Equipment Repairs</t>
  </si>
  <si>
    <t>Miscellaneous Expenses (Client Emergency Fund, Tenant supplies)</t>
  </si>
  <si>
    <t>Security Deposits</t>
  </si>
  <si>
    <t>Sub-total Operating Expenses</t>
  </si>
  <si>
    <t>C. TOTAL DIRECT</t>
  </si>
  <si>
    <t>D. ADMINISTRATION (INDIRECT)</t>
  </si>
  <si>
    <t>E. TOTAL PROGRAM COSTS</t>
  </si>
  <si>
    <t>F. REVENUE</t>
  </si>
  <si>
    <t>In Kind /Community Partner Service</t>
  </si>
  <si>
    <t>Program Service Fees</t>
  </si>
  <si>
    <t>Grants</t>
  </si>
  <si>
    <t>Private Insurance</t>
  </si>
  <si>
    <t>Medicaid Reimbursement</t>
  </si>
  <si>
    <t>Other Revenue</t>
  </si>
  <si>
    <t>TOTAL REVENUE</t>
  </si>
  <si>
    <t xml:space="preserve">G. NET </t>
  </si>
  <si>
    <t>Assumed annual inflation</t>
  </si>
  <si>
    <t>Intensive Case Management (ICM) Staffing &amp; Budget Model</t>
  </si>
  <si>
    <t>About the Intensive Case Management (ICM) Staffing Model for housing-related services and supports</t>
  </si>
  <si>
    <t xml:space="preserve">Intensive Case Management is a a case management model intended for higher acuity clients with multiple co-occurring chronic conditions that require a smaller case load size than classic case management. Some states fund ICM as an individual case load approach while others fund ICM as a team-based shared caseload approach. Intensive case management has a moderate evidence base that demonstrates potential for improved health outcomes, housing stability, and reductions in crisis care (Emergency Departments, hospital overnight stays). Systematic reviews of ICM conclude that the closer the ICM staffing model is to Assertive Community Treatment, the more likely positive program outcomes will be achieved. ICM staff are intended to provide a multi-disciplinary approach to case management, yet team structure and specialties can be determined based on the target population and wrap-around service needs of that target population. </t>
  </si>
  <si>
    <t>Click here to view more resources and references on the ICM model</t>
  </si>
  <si>
    <t>1. Please complete the blue boxes below for each target population supported through ICM:</t>
  </si>
  <si>
    <t>Target Population</t>
  </si>
  <si>
    <t># of tenants in scattered site</t>
  </si>
  <si>
    <t># of tenants in single site</t>
  </si>
  <si>
    <t>2a. Please complete the blue boxes below with local HR information. Please note that the case manager number is calculated for you.  If this project is substiting specialist positions for generalist case manger positions, you can add the number and salary information for those specialists</t>
  </si>
  <si>
    <t>Housing Manager (liason with property manager)</t>
  </si>
  <si>
    <t>Housing Specialist</t>
  </si>
  <si>
    <t>Supervisor</t>
  </si>
  <si>
    <t>Case Managers (recommended total)</t>
  </si>
  <si>
    <t>Specialist Case Manager (if applic)</t>
  </si>
  <si>
    <t>Social Worker (LCSW)</t>
  </si>
  <si>
    <t>Social Worker (LMSW)</t>
  </si>
  <si>
    <t>Vocational or Employment Specialist</t>
  </si>
  <si>
    <t>Certified Addictions Counselor</t>
  </si>
  <si>
    <t>Case Managers (input total)</t>
  </si>
  <si>
    <r>
      <rPr>
        <b/>
        <sz val="12"/>
        <color theme="5"/>
        <rFont val="Calibri"/>
        <family val="2"/>
        <scheme val="minor"/>
      </rPr>
      <t>2b.</t>
    </r>
    <r>
      <rPr>
        <b/>
        <sz val="12"/>
        <color theme="1"/>
        <rFont val="Calibri"/>
        <family val="2"/>
        <scheme val="minor"/>
      </rPr>
      <t xml:space="preserve"> </t>
    </r>
    <r>
      <rPr>
        <b/>
        <sz val="12"/>
        <color theme="5"/>
        <rFont val="Calibri"/>
        <family val="2"/>
        <scheme val="minor"/>
      </rPr>
      <t>(OPTIONAL)</t>
    </r>
    <r>
      <rPr>
        <b/>
        <sz val="12"/>
        <color theme="1"/>
        <rFont val="Calibri"/>
        <family val="2"/>
        <scheme val="minor"/>
      </rPr>
      <t xml:space="preserve"> Only complete rows 36-44 if you are planning to be reimbursed by a "fee for service" structure in 15 minute unit increments. Otherwise, leave as is.</t>
    </r>
  </si>
  <si>
    <t>UOS/Hour</t>
  </si>
  <si>
    <t>We recommend 4.0 UOS/Hour</t>
  </si>
  <si>
    <t>ICM MULTI-YEAR BUDGET*</t>
  </si>
  <si>
    <t>ICM ANNUAL BUDGET without Start Up and Medicaid</t>
  </si>
  <si>
    <t>Service Liability Insurance</t>
  </si>
  <si>
    <t>Recommendation for scattered site accommodation only.</t>
  </si>
  <si>
    <t>Miscellaneous Expenses (Client Emergency Fund, Tenant supplies, Nursing equipment)</t>
  </si>
  <si>
    <t>Housing Support Services (HSS) Staffing &amp; Budget Model</t>
  </si>
  <si>
    <t>About the Housing Suport Services Staffing Model for housing-related services and supports</t>
  </si>
  <si>
    <t>The core services in supportive housing are tenancy supports that help people access and remain in housing. Sometimes referred to as housing case management in CoC funded programs, tenancy supports or Housing Support Services (HSS) are delivered at staff-to-client ratios of 1:10 for scattered site supportive housing and 1:15 for clustered and single-site supportive housing serving individuals with the most intensive service needs. Case loads sizes can be adjusted based on acuity levels and housing stabilization. As more and more states across the U.S. are adding tenancy supports to their Medicaid State Plans, the term Housing Support Servvices is replacing housing case management- due to the numerous definitions of "case management" across service sectors. HSS Direct Services Personnel (DSPs) are responsible for assisting with housing search, documentation, and subsidy applications; helping to acquire furnishings, cleaning supplies, and household items; ensuring rent is paid and recertification’s are completed; safeguarding that lease obligations are met and tenancy rights are upheld; providing conflict resolution and supporting moves to different apartments when necessary; and helping tenants to make connections in their communities. Housing supports also include varying degrees of transportation to appointments, assistance with medication adherence, health and safety education, substance use disorder supports, nutritional counseling, and money management. Housing support specialists help tenants access other community-based services  via their care coordination agency.  Such services include peer supports, out-patient mental health services, substance use disorder treatment and services, primary care, and education and employment. They also make connections with staffs of hospitals, health clinics, and hospice when tenants receiving acute medical and/or palliative care are in need of support at home.</t>
  </si>
  <si>
    <t>1. Please complete the blue boxes below for each target population supported through Tenancy Support Services:</t>
  </si>
  <si>
    <t>Recommended caseload in scattered site</t>
  </si>
  <si>
    <t>Recommended caseload in single site</t>
  </si>
  <si>
    <t xml:space="preserve">2a. Please complete the blue boxes below with local HR salary information. Please note the Tenancy Supports Service Coordinator number is calculated for you. </t>
  </si>
  <si>
    <t>Housing Manager (liason with landlord)</t>
  </si>
  <si>
    <t>Housing Service Coordinator (tenant liason)</t>
  </si>
  <si>
    <t>Based on the # of tenants, we recommend 1 peer to 25 tenants. Peers can be included in the total number recommended in D22.</t>
  </si>
  <si>
    <t>2b. Only complete rows 29-37 if you are planning to be reimbursed by a "fee for service" structure in 15 minute unit increments. Otherwise, leave as is.</t>
  </si>
  <si>
    <t>UOS Assumptions for CMs</t>
  </si>
  <si>
    <t xml:space="preserve">We recommend 70% for single site buildings.  If you are budgeting for under 70%, provide justification (rural/long travel requirements or outreach teams) </t>
  </si>
  <si>
    <t>SH Tenancy Support Services MULTI-YEAR BUDGET*</t>
  </si>
  <si>
    <t>SH Tenancy Support Services ANNUAL BUDGET without Start Up and Medicaid</t>
  </si>
  <si>
    <t>Total + Start Up</t>
  </si>
  <si>
    <t>Medicaid (Tab 6 if using)</t>
  </si>
  <si>
    <t xml:space="preserve">Start Up (Tab 5 if using) </t>
  </si>
  <si>
    <t>B. OPERATING EXPENSES (annual costs for HSS program may be a percent of total cost to agency)</t>
  </si>
  <si>
    <t>Rent (annual cost for this program)</t>
  </si>
  <si>
    <t>Utilities (annual cost)</t>
  </si>
  <si>
    <t>Building Insurance (annual cost)</t>
  </si>
  <si>
    <t>Housekeeping (annual cost)</t>
  </si>
  <si>
    <t>Communications (Phone, Data) (annual)</t>
  </si>
  <si>
    <t>Office Supplies (annual)</t>
  </si>
  <si>
    <t>Service Liability Insurance (annual)</t>
  </si>
  <si>
    <t>Recommendation for scattered site housing only.</t>
  </si>
  <si>
    <t>Critical Time Intervention Staffing &amp; Budget Model*</t>
  </si>
  <si>
    <t>About the Critical Time Intervention (CTI) Staffing Model for housing-related services and supports</t>
  </si>
  <si>
    <t>Critical Time Intervention is a time-limited approach using a brokerage case management that emphasizes intentional connections and coordination with mainstream community providers to ensure ongoing support from mainstream services providers as CTI services taper down over a nine month period. CTI can be a successful intervention for tenants in rapid rehousing with low to moderate acuity. It can also be used in permanent supportive housing when CTI services are transitioning tenants from outreach and crisis services to mainstream ACT and ICM providers once housed and working toward housing stability. CTI is an evidence based approach with multiple stages of engagement and program fidelity standards for individuals and families. More on CTI can be found at criticaltimeintervention.org and in the References and Resources section of the Services Budget Tool online folder.</t>
  </si>
  <si>
    <t>Click here to view more resources and references on the CTI model</t>
  </si>
  <si>
    <t>1. Please complete the blue boxes below for each target population supported through CTI:</t>
  </si>
  <si>
    <t>Caseload Equivalent</t>
  </si>
  <si>
    <t>2a. Please complete the blue boxes below with local HR information. Please note that the case manager number is calculated for you.</t>
  </si>
  <si>
    <t>Supervisor/ Field Work Coordinator</t>
  </si>
  <si>
    <t>CTI Workers</t>
  </si>
  <si>
    <t>Specialist Position (if applic.)</t>
  </si>
  <si>
    <r>
      <rPr>
        <b/>
        <sz val="12"/>
        <color theme="5"/>
        <rFont val="Calibri"/>
        <family val="2"/>
        <scheme val="minor"/>
      </rPr>
      <t xml:space="preserve">2b. (OPTIONAL) </t>
    </r>
    <r>
      <rPr>
        <b/>
        <sz val="12"/>
        <color theme="1"/>
        <rFont val="Calibri"/>
        <family val="2"/>
        <scheme val="minor"/>
      </rPr>
      <t>Only complete rows 25-35 if you are planning to be reimbursed by a "fee for service" structure in 15 minute unit increments. Otherwise, leave as is.</t>
    </r>
  </si>
  <si>
    <t>Units Of Service (UOS) Assumptions for CMs, SWs, and Counselors</t>
  </si>
  <si>
    <t>We recommend estimating for 1.0 other days off (bereavement or other unplanned)</t>
  </si>
  <si>
    <t>CTI MULTI-YEAR BUDGET*</t>
  </si>
  <si>
    <t>CTI ANNUAL BUDGET without Start Up and Medicaid expenses</t>
  </si>
  <si>
    <t xml:space="preserve">Staff Development &amp; Training </t>
  </si>
  <si>
    <t>The federal rate is $0.54 per mile.</t>
  </si>
  <si>
    <t xml:space="preserve">H. NET </t>
  </si>
  <si>
    <t xml:space="preserve">*CTI is based on a 9 month, three phase period of engagement.  This model is based on an ongoing standardized caseload ratio, assuming some indivudals are entering services, others are exiting. </t>
  </si>
  <si>
    <t xml:space="preserve">General Startup Costs </t>
  </si>
  <si>
    <t xml:space="preserve">The expenses below are those that your organization might incur when preparing to begin a new service delivery program. While some organizations choose to increase these costs as part of the Year 1 budget, it may also be helpful to create a distinct startup budget. If your organization has not yet hired or trained staff for supportive housing services, you will want to identify which of these costs below you expect to incur in your first year. Some startup costs may also be incurred in future program years if you are continuing to add staff and serve additional tenants beyond Year 1. Please include only those expenses that are relevant for your organization along with estimated costs. You may also use the blank lines in each section to add additional expenses not listed.  Costs that you list in this section are aggregated and included in each service model budget under the "StartUp" Column. </t>
  </si>
  <si>
    <t>Basis</t>
  </si>
  <si>
    <t>Cost</t>
  </si>
  <si>
    <t># of Units</t>
  </si>
  <si>
    <t xml:space="preserve">Total </t>
  </si>
  <si>
    <t>Notes</t>
  </si>
  <si>
    <t xml:space="preserve">Advertising/Posting </t>
  </si>
  <si>
    <t>Costs of posting on hiring websites or search firms</t>
  </si>
  <si>
    <t>Signing Bonuses</t>
  </si>
  <si>
    <t>Per/emp</t>
  </si>
  <si>
    <t>If necessary given local market conditions, per employee signing bonuses</t>
  </si>
  <si>
    <t>Background Checks</t>
  </si>
  <si>
    <t>Costs of background checks for each hired employee, if used</t>
  </si>
  <si>
    <t>Bonuses or overtime pay for covering additional case loads while hiring new staff/ramping up to a full team.</t>
  </si>
  <si>
    <t>Other</t>
  </si>
  <si>
    <t>Staff Development and Training</t>
  </si>
  <si>
    <t>Training</t>
  </si>
  <si>
    <t>Costs for training as new staff are being onboarded</t>
  </si>
  <si>
    <t>Sub-total Startup Personnel Expenses</t>
  </si>
  <si>
    <t>per/month</t>
  </si>
  <si>
    <t>Rent for office space during the ramp up phase prior to services beginning, generally only relevant for new programs without existing space</t>
  </si>
  <si>
    <t xml:space="preserve">Utilities prior to services beginning </t>
  </si>
  <si>
    <t xml:space="preserve">Insurance for new building or space prior to services beginning </t>
  </si>
  <si>
    <t>Communications, Cell Phones</t>
  </si>
  <si>
    <t>Purchase of cell phones for newly hired employees, ongoing service costs will be included in each annual budget</t>
  </si>
  <si>
    <t xml:space="preserve">Office Supplies, Misc. </t>
  </si>
  <si>
    <t>Paper, staplers, pens, other items necessary to prepare workspaces for new staff</t>
  </si>
  <si>
    <t xml:space="preserve">Vehicles (purchase) </t>
  </si>
  <si>
    <t>Purchase of vehicles for use by staff when working with clients</t>
  </si>
  <si>
    <t>Initial insurance payment for purchased vehicles</t>
  </si>
  <si>
    <t>Renovations to office space to ready it for start of services</t>
  </si>
  <si>
    <t>Furnishing/Equipment</t>
  </si>
  <si>
    <t>Desks</t>
  </si>
  <si>
    <t>Number of desks needed for newly hired employees</t>
  </si>
  <si>
    <t>Chairs</t>
  </si>
  <si>
    <t>Number of chairs needed for newly hired employees</t>
  </si>
  <si>
    <t>Scanner/Copier</t>
  </si>
  <si>
    <t>Copier purchase for service delivery team if needed. Scanner is relevant if converting any paper documents to digital for storage in electronic health record.</t>
  </si>
  <si>
    <t>Shredder or shredding service for confidential documents</t>
  </si>
  <si>
    <t>If providing health services or a Medicaid provider, this will be important for protecting client information.</t>
  </si>
  <si>
    <t>Filing cabinets, locked</t>
  </si>
  <si>
    <t>Filing cabinets designed to hold client medical or other healthcare records</t>
  </si>
  <si>
    <t>Filing cabinets, standard</t>
  </si>
  <si>
    <t>Licenses, Electronic Health Records</t>
  </si>
  <si>
    <t xml:space="preserve">The initial cost of electronic health record licenses and setup. Ongoing costs will be included in each annual budget. </t>
  </si>
  <si>
    <t xml:space="preserve">Licenses, HMIS </t>
  </si>
  <si>
    <t xml:space="preserve">The initial cost of HMIS licenses and setup. Ongoing costs will be included in each annual budget. </t>
  </si>
  <si>
    <t>Mobile wifi hotspots</t>
  </si>
  <si>
    <t>Purchase of mobile wifi hotspots for newly hired employees, ongoing service costs will be included in each annual budget</t>
  </si>
  <si>
    <t xml:space="preserve">Computers/Tablets </t>
  </si>
  <si>
    <t>Purchase of new computers/tables for newly hired employees, ongoing IT costs will be included in each annual budget</t>
  </si>
  <si>
    <t xml:space="preserve">Nursing equipment </t>
  </si>
  <si>
    <t>e.g., glucometers and glucose testing strips, portable scale, blood-pressure cuffs, stethoscopes, thermometers, injection supplies, portable Sharps containers for used needles, pillboxes, etc., likely relevant only if using the ACT model or ICM model with nursing staff.</t>
  </si>
  <si>
    <t>Miscellaneous</t>
  </si>
  <si>
    <t>Sub-total Startup Operating Expenses</t>
  </si>
  <si>
    <t xml:space="preserve">C. TOTAL DIRECT STARTUP EXPENSES  </t>
  </si>
  <si>
    <t xml:space="preserve">Estimating New Medicaid Provider Costs </t>
  </si>
  <si>
    <t>1. To show and use these inputs, select "Yes" in cell D8 on tab 3, "Basic Input &amp; Assumptions."</t>
  </si>
  <si>
    <t xml:space="preserve">2. Then SELECT the Staffing Model Tab you want these costs applied to HERE (E5): </t>
  </si>
  <si>
    <t>Apply to Housing Stabilization Services Tab 4</t>
  </si>
  <si>
    <t xml:space="preserve">3. Familiarize yourself with these budget considerations and select YES to any you will need to include in your estimates. </t>
  </si>
  <si>
    <t>4. Adjust any cost estimates in Column E to local estimates as needed. This is especially important for salaries.</t>
  </si>
  <si>
    <t>Expense considerations for new Medicaid providers</t>
  </si>
  <si>
    <t>Necessary?</t>
  </si>
  <si>
    <t>Frequency of Expense</t>
  </si>
  <si>
    <t># of Units per year</t>
  </si>
  <si>
    <t>Select Yes to include line item in Start Up or Annual Budget</t>
  </si>
  <si>
    <t>Quality Improvement (QI) Manager</t>
  </si>
  <si>
    <t>Required-CMS</t>
  </si>
  <si>
    <t>Ongoing- Annual</t>
  </si>
  <si>
    <t>1 per agency</t>
  </si>
  <si>
    <t>No</t>
  </si>
  <si>
    <t xml:space="preserve">This may be a new position for many agencies. It is needed to ensure compliance with funder rules and regulations and to ensure billing is accurate and correct. If your agency already has a compliance officer, you make this a less than 1 FTE. </t>
  </si>
  <si>
    <t>Additional QI administrative support</t>
  </si>
  <si>
    <t>Not Required (optional)</t>
  </si>
  <si>
    <t>Compliance Officer</t>
  </si>
  <si>
    <t>Required-State Medicaid</t>
  </si>
  <si>
    <t>In smaller agencies this role is often combined with another role. There are requirements for this role to have the ability to report directly to the ED and also directly to the Board of Directors regarding agency compliance. For details see U.S. Dept. of Health and Human Services Office of the Inspector General and your state's Medicaid agency requirements for Medicaid Compliance Officers.</t>
  </si>
  <si>
    <t>Medicaid Consultant</t>
  </si>
  <si>
    <t>Start Up</t>
  </si>
  <si>
    <t>Will help agencies be more effective and speed up the process in becoming a Medicaid biller; can help with administrative and Board policy changes, rules and requirements, quality improvement policies and practices, assisting with national accreditation, etc. Consultants can also help with compliance requirements to review policies, help with internal audit readiness, etc.  Cost range: $10,000-$30,000 (or 130-200/hour).</t>
  </si>
  <si>
    <t>Billing Support Subcontract</t>
  </si>
  <si>
    <t>Ongoing-monthly</t>
  </si>
  <si>
    <t>5-8% of Medicaid reimbursement received</t>
  </si>
  <si>
    <t>Most billing agencies will cost 5-8% of claims submitted. In other words for each $100 submitted in billing claims, the subcontracted billing agency would receive $5.00 -$8.00 depnding on the agreement. A consultant can help you to estimate your Medicaid revenue potential in order to decide if a billing support subcontract makes more fiscal sense than purchasing a billing software and doing all billing in house.</t>
  </si>
  <si>
    <t>1 per staff member</t>
  </si>
  <si>
    <t>If background checks are not yet included in your organizational budget, include them here or in the General Start Up tab. The # of Units per year in Column G for this row (19) are pulled from the total number of staff for the staffing model selected, as the staff number appears in Tab 2 Budget Summary Output, cells D5-G5.</t>
  </si>
  <si>
    <t>HIPAA &amp; Compliance Training</t>
  </si>
  <si>
    <t>1 per direct service staff member</t>
  </si>
  <si>
    <t>Some Medicaid State Agencies offer regular training on these topics at no or low cost to contracted providers. Additionally the Office of the Inspector General at the U.S. Department of Health and Human Services offers free online training on these general topics. Estimates of $50 per staff member are averaged from several online learning programs, including CSH Training Center and Relias LMS. NOTE: If "apply to all" is selected will take max. FTE.</t>
  </si>
  <si>
    <t>HIPAA FAQs link to U.S. Dept of Health and Human Services website</t>
  </si>
  <si>
    <t>Whistleblower and Medicaid Fraud Prevention Training</t>
  </si>
  <si>
    <t>Clinical Supervision for staff pursuing licensure (LCSW, LPC, MFT, Psych NP, Psychiatry residents) in ACT and ICM models.</t>
  </si>
  <si>
    <t>Reduction in productivity expectations for clinical supervisors training new clinical staff</t>
  </si>
  <si>
    <t>Medicaid requires staff to have specific training with timelines. Also, staff who are licensed will have required training to keep license active. Providing licensed supervision for staff working toward licensure can be an effective way to bring in and retain staff with medical and clinical expertise. This typically requires slightly reducing the billing expectations of the clinical supervisor to enable them to provide ongoing individual and group clinical supervision meetings.</t>
  </si>
  <si>
    <t>Sub-total Medicaid Personnel Startup Expenses</t>
  </si>
  <si>
    <t>Sub-total Medicaid Personnel Ongoing Expenses</t>
  </si>
  <si>
    <t>Equipment</t>
  </si>
  <si>
    <t>Organizational/Professional Liability Insurance</t>
  </si>
  <si>
    <t>Agencies can choose to purchase professional liability insurance for the agency/group or require it at the individual practitioner level. Organizational liability insurance may be required by the State Medicaid Agency in order to enroll with your state as a Medicaid provider. It is reasonable to estimate $500-1000 per year for professional liability insurance at the organizational level. If you have 2 or fewer clinical staff seeking professional liability insurance it may be cheaper to insure per staff member as those costs can average between $20-$50 per month per clinical staff.</t>
  </si>
  <si>
    <t xml:space="preserve">Shredder or shredding service </t>
  </si>
  <si>
    <t>Filing cabinets designed to hold client medical or other healthcare records must be locked AND behind a locking door, if agency is using paper records.</t>
  </si>
  <si>
    <t>HIPAA compliance is required by CMS and State Medicaid Agencies. The manner in which an organization complies with keeping protected health information safe can vary. Not all states require electronic record keeping. Not all states allow digital signatures from clients or from providers.</t>
  </si>
  <si>
    <t>New Software for Billing-monthly</t>
  </si>
  <si>
    <t>Initial costs may be included as part of the electronic health record as a separate module. Ongoing costs estimate range is $600-$1,000 per month for licensing fees. For small agencies it will likely be cheaper to subcontract billing. For this option see Row 16 under Contract Personnel: Billing Support Subcontract.</t>
  </si>
  <si>
    <t>New Software for Billing-initial purchase</t>
  </si>
  <si>
    <t>Initial costs may be included as part of the electronic health record as a separate module. Purchase pricing for new billing software varies with estimates from current supportive housing Medicaid providers ranging from $100,000- $300,000 for start up initial purchase, with monthly user license fees varying depending on initial purchase price and number of staff using the software.</t>
  </si>
  <si>
    <t>Phone &amp; Tablets HIPAA security screen protectors</t>
  </si>
  <si>
    <t>1 per staff member working in direct service in the community</t>
  </si>
  <si>
    <t>Not required but recommended for staff working in the community. At a minimum unique passwords and automatic screen lock security should be required on all work electronics.</t>
  </si>
  <si>
    <t xml:space="preserve">Email and data encryption </t>
  </si>
  <si>
    <t xml:space="preserve">1 per staff member  </t>
  </si>
  <si>
    <t>Though encryption is not required federally (see link in cell K41), many states require email encryption as a protection against sharing protected health information (PHI). Google and other free email providers do offer email encryption and other security features for non-profits with monthly user fees per user per month.</t>
  </si>
  <si>
    <t>Link to U.S. Dept of Health and Human Service Guidance on email encryption</t>
  </si>
  <si>
    <t>Link outlining G-Suite, google for non-porifts with security features.</t>
  </si>
  <si>
    <t>per office space for meeting with clients privately</t>
  </si>
  <si>
    <t>Miscellaneous Program Expenses</t>
  </si>
  <si>
    <t xml:space="preserve">Medicaid Provider Enrollment fee </t>
  </si>
  <si>
    <t xml:space="preserve"> Most U.S. States and Territories charge a provider enrollment application fee. Some have provisions to waive fees, others do not. Enrollment fees for 2020 averaged at $595 for the majority of states examined.</t>
  </si>
  <si>
    <t>National Accreditation or Certification</t>
  </si>
  <si>
    <t xml:space="preserve">This varies by state and by Certification or Accreditation type. Average costs range between $6,000-11,000. Some states require national accreditation in order to get certified as a Medicaid provider at the state level. </t>
  </si>
  <si>
    <t>Sub-total Medicaid Startup Operating Expenses</t>
  </si>
  <si>
    <t>Sub-total Medicaid Ongoing Operating Expenses</t>
  </si>
  <si>
    <t>E. TOTAL Medicaid STARTUP PROGRAM COSTS</t>
  </si>
  <si>
    <t>F. TOTAL Medicaid ONGOING PROGRAM COSTS</t>
  </si>
  <si>
    <t>Example Ramp Up to Medicaid Reimbursement from Grant Funding</t>
  </si>
  <si>
    <t>Total Program Budget</t>
  </si>
  <si>
    <t xml:space="preserve">Percent of Budget covered by Grant Funding </t>
  </si>
  <si>
    <t>Percent of Budget covered by Medicaid Reimbursement</t>
  </si>
  <si>
    <t>Anticipated Grant Funding</t>
  </si>
  <si>
    <t>Anticipated Medicaid Reimbursement</t>
  </si>
  <si>
    <t>Month 1</t>
  </si>
  <si>
    <t>Month 2</t>
  </si>
  <si>
    <t>Month 3</t>
  </si>
  <si>
    <t>Month 4</t>
  </si>
  <si>
    <t>Month 5</t>
  </si>
  <si>
    <t>Month 6</t>
  </si>
  <si>
    <t>Month 7</t>
  </si>
  <si>
    <t>Month 8</t>
  </si>
  <si>
    <t>Month 9</t>
  </si>
  <si>
    <t>Month 10</t>
  </si>
  <si>
    <t>Month 12</t>
  </si>
  <si>
    <t>Month 14</t>
  </si>
  <si>
    <t>Month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</si>
</sst>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164" formatCode="&quot;$&quot;#,##0"/>
    <numFmt numFmtId="165" formatCode="0.0"/>
    <numFmt numFmtId="166" formatCode="&quot;Based on the # of case managers, we recommend &quot;#&quot; FTE&quot;"/>
    <numFmt numFmtId="167" formatCode="#,##0.0"/>
    <numFmt numFmtId="168" formatCode="&quot;We recommend &quot;&quot;$&quot;#,###&quot; . See 'Assumptions' tab for further information&quot;"/>
    <numFmt numFmtId="169" formatCode="&quot;Intensive Case Management team should have&quot;\ #\ &quot;staff based on client numbers&quot;"/>
    <numFmt numFmtId="170" formatCode="&quot;CSH recommends&quot;\ #\ &quot;staff&quot;"/>
    <numFmt numFmtId="171" formatCode="&quot;Based on the # of tenants, we recommend &quot;#&quot; FTE&quot;"/>
    <numFmt numFmtId="172" formatCode="&quot;$&quot;#,##0.000_);[Red]\(&quot;$&quot;#,##0.000\)"/>
    <numFmt numFmtId="173" formatCode="_(&quot;$&quot;* #,##0.000_);_(&quot;$&quot;* \(#,##0.000\);_(&quot;$&quot;* &quot;-&quot;??_);_(@_)"/>
    <numFmt numFmtId="174" formatCode="0.0%"/>
  </numFmts>
  <fonts count="48">
    <font>
      <sz val="11"/>
      <color theme="1"/>
      <name val="Calibri"/>
      <family val="2"/>
      <scheme val="minor"/>
    </font>
    <font>
      <sz val="11"/>
      <color theme="1"/>
      <name val="Calibri"/>
      <family val="2"/>
      <scheme val="minor"/>
    </font>
    <font>
      <sz val="8"/>
      <name val="Arial MT"/>
    </font>
    <font>
      <u/>
      <sz val="11"/>
      <color theme="10"/>
      <name val="Calibri"/>
      <family val="2"/>
      <scheme val="minor"/>
    </font>
    <font>
      <b/>
      <sz val="14"/>
      <color theme="0"/>
      <name val="Calibri"/>
      <family val="2"/>
      <scheme val="minor"/>
    </font>
    <font>
      <sz val="12"/>
      <color theme="1"/>
      <name val="Calibri"/>
      <family val="2"/>
      <scheme val="minor"/>
    </font>
    <font>
      <b/>
      <sz val="12"/>
      <color theme="0"/>
      <name val="Calibri"/>
      <family val="2"/>
      <scheme val="minor"/>
    </font>
    <font>
      <b/>
      <sz val="12"/>
      <color theme="1"/>
      <name val="Calibri"/>
      <family val="2"/>
      <scheme val="minor"/>
    </font>
    <font>
      <sz val="12"/>
      <color rgb="FFFF0000"/>
      <name val="Calibri"/>
      <family val="2"/>
      <scheme val="minor"/>
    </font>
    <font>
      <i/>
      <sz val="12"/>
      <color theme="1"/>
      <name val="Calibri"/>
      <family val="2"/>
      <scheme val="minor"/>
    </font>
    <font>
      <i/>
      <sz val="12"/>
      <color theme="0"/>
      <name val="Calibri"/>
      <family val="2"/>
      <scheme val="minor"/>
    </font>
    <font>
      <sz val="12"/>
      <color theme="0"/>
      <name val="Calibri"/>
      <family val="2"/>
      <scheme val="minor"/>
    </font>
    <font>
      <sz val="12"/>
      <name val="Calibri"/>
      <family val="2"/>
      <scheme val="minor"/>
    </font>
    <font>
      <b/>
      <sz val="12"/>
      <name val="Calibri"/>
      <family val="2"/>
      <scheme val="minor"/>
    </font>
    <font>
      <i/>
      <sz val="12"/>
      <color rgb="FFFF0000"/>
      <name val="Calibri"/>
      <family val="2"/>
      <scheme val="minor"/>
    </font>
    <font>
      <i/>
      <sz val="12"/>
      <name val="Calibri"/>
      <family val="2"/>
      <scheme val="minor"/>
    </font>
    <font>
      <u/>
      <sz val="12"/>
      <color theme="10"/>
      <name val="Calibri"/>
      <family val="2"/>
      <scheme val="minor"/>
    </font>
    <font>
      <sz val="14"/>
      <color theme="1"/>
      <name val="Calibri"/>
      <family val="2"/>
      <scheme val="minor"/>
    </font>
    <font>
      <b/>
      <sz val="14"/>
      <color theme="1"/>
      <name val="Calibri"/>
      <family val="2"/>
      <scheme val="minor"/>
    </font>
    <font>
      <sz val="14"/>
      <name val="Calibri"/>
      <family val="2"/>
      <scheme val="minor"/>
    </font>
    <font>
      <i/>
      <sz val="14"/>
      <color theme="1"/>
      <name val="Calibri"/>
      <family val="2"/>
      <scheme val="minor"/>
    </font>
    <font>
      <b/>
      <u/>
      <sz val="14"/>
      <color theme="1"/>
      <name val="Calibri"/>
      <family val="2"/>
      <scheme val="minor"/>
    </font>
    <font>
      <sz val="18"/>
      <color theme="1"/>
      <name val="Calibri"/>
      <family val="2"/>
      <scheme val="minor"/>
    </font>
    <font>
      <i/>
      <sz val="11"/>
      <color theme="1"/>
      <name val="Calibri"/>
      <family val="2"/>
      <scheme val="minor"/>
    </font>
    <font>
      <b/>
      <sz val="12"/>
      <color theme="5"/>
      <name val="Calibri"/>
      <family val="2"/>
      <scheme val="minor"/>
    </font>
    <font>
      <sz val="10"/>
      <color rgb="FF000000"/>
      <name val="Times New Roman"/>
      <family val="1"/>
    </font>
    <font>
      <sz val="12"/>
      <color rgb="FF000000"/>
      <name val="Calibri"/>
      <family val="2"/>
      <scheme val="minor"/>
    </font>
    <font>
      <sz val="10"/>
      <name val="Times New Roman"/>
      <family val="1"/>
    </font>
    <font>
      <b/>
      <sz val="11"/>
      <color rgb="FF333333"/>
      <name val="Calibri"/>
      <family val="2"/>
      <scheme val="minor"/>
    </font>
    <font>
      <b/>
      <sz val="10"/>
      <name val="Calibri"/>
      <family val="2"/>
      <scheme val="minor"/>
    </font>
    <font>
      <sz val="10"/>
      <color theme="1"/>
      <name val="Calibri"/>
      <family val="2"/>
      <scheme val="minor"/>
    </font>
    <font>
      <sz val="10"/>
      <name val="Calibri"/>
      <family val="2"/>
      <scheme val="minor"/>
    </font>
    <font>
      <b/>
      <sz val="12"/>
      <color theme="0" tint="-0.14999847407452621"/>
      <name val="Calibri"/>
      <family val="2"/>
      <scheme val="minor"/>
    </font>
    <font>
      <b/>
      <sz val="11"/>
      <color theme="1"/>
      <name val="Calibri"/>
      <family val="2"/>
      <scheme val="minor"/>
    </font>
    <font>
      <b/>
      <u/>
      <sz val="12"/>
      <color theme="1"/>
      <name val="Calibri"/>
      <family val="2"/>
      <scheme val="minor"/>
    </font>
    <font>
      <b/>
      <i/>
      <sz val="12"/>
      <name val="Calibri"/>
      <family val="2"/>
      <scheme val="minor"/>
    </font>
    <font>
      <sz val="16"/>
      <color rgb="FF000000"/>
      <name val="Times New Roman"/>
      <family val="1"/>
    </font>
    <font>
      <b/>
      <sz val="10"/>
      <color rgb="FF000000"/>
      <name val="Times New Roman"/>
      <family val="1"/>
    </font>
    <font>
      <b/>
      <u/>
      <sz val="11"/>
      <color theme="10"/>
      <name val="Calibri"/>
      <family val="2"/>
      <scheme val="minor"/>
    </font>
    <font>
      <b/>
      <u/>
      <sz val="8"/>
      <color theme="10"/>
      <name val="Calibri"/>
      <family val="2"/>
      <scheme val="minor"/>
    </font>
    <font>
      <b/>
      <sz val="12"/>
      <color rgb="FF000000"/>
      <name val="Calibri"/>
      <family val="2"/>
      <scheme val="minor"/>
    </font>
    <font>
      <b/>
      <u/>
      <sz val="12"/>
      <color theme="10"/>
      <name val="Calibri"/>
      <family val="2"/>
      <scheme val="minor"/>
    </font>
    <font>
      <sz val="11"/>
      <name val="Calibri"/>
      <family val="2"/>
      <scheme val="minor"/>
    </font>
    <font>
      <b/>
      <sz val="9"/>
      <color indexed="81"/>
      <name val="Tahoma"/>
      <family val="2"/>
    </font>
    <font>
      <sz val="9"/>
      <color indexed="81"/>
      <name val="Tahoma"/>
      <family val="2"/>
    </font>
    <font>
      <b/>
      <sz val="10"/>
      <color theme="1"/>
      <name val="Calibri"/>
      <family val="2"/>
      <scheme val="minor"/>
    </font>
    <font>
      <i/>
      <sz val="10"/>
      <color theme="1"/>
      <name val="Calibri"/>
      <family val="2"/>
      <scheme val="minor"/>
    </font>
    <font>
      <sz val="10"/>
      <color rgb="FFFF0000"/>
      <name val="Calibri"/>
      <family val="2"/>
      <scheme val="minor"/>
    </font>
  </fonts>
  <fills count="15">
    <fill>
      <patternFill patternType="none"/>
    </fill>
    <fill>
      <patternFill patternType="gray125"/>
    </fill>
    <fill>
      <patternFill patternType="solid">
        <fgColor theme="0" tint="-0.499984740745262"/>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59999389629810485"/>
        <bgColor indexed="64"/>
      </patternFill>
    </fill>
    <fill>
      <patternFill patternType="solid">
        <fgColor rgb="FFEAEAEA"/>
      </patternFill>
    </fill>
    <fill>
      <patternFill patternType="solid">
        <fgColor theme="9" tint="0.79998168889431442"/>
        <bgColor indexed="64"/>
      </patternFill>
    </fill>
    <fill>
      <patternFill patternType="solid">
        <fgColor theme="9"/>
        <bgColor indexed="64"/>
      </patternFill>
    </fill>
    <fill>
      <patternFill patternType="solid">
        <fgColor theme="7"/>
        <bgColor indexed="64"/>
      </patternFill>
    </fill>
    <fill>
      <patternFill patternType="solid">
        <fgColor theme="4"/>
        <bgColor indexed="64"/>
      </patternFill>
    </fill>
    <fill>
      <patternFill patternType="solid">
        <fgColor rgb="FFE2F0D9"/>
        <bgColor indexed="64"/>
      </patternFill>
    </fill>
    <fill>
      <patternFill patternType="solid">
        <fgColor theme="4" tint="0.59999389629810485"/>
        <bgColor indexed="65"/>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style="thin">
        <color indexed="64"/>
      </left>
      <right/>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mediumDashDot">
        <color theme="5"/>
      </left>
      <right/>
      <top style="mediumDashDot">
        <color theme="5"/>
      </top>
      <bottom/>
      <diagonal/>
    </border>
    <border>
      <left/>
      <right/>
      <top style="mediumDashDot">
        <color theme="5"/>
      </top>
      <bottom/>
      <diagonal/>
    </border>
    <border>
      <left/>
      <right style="mediumDashDot">
        <color theme="5"/>
      </right>
      <top style="mediumDashDot">
        <color theme="5"/>
      </top>
      <bottom/>
      <diagonal/>
    </border>
    <border>
      <left style="mediumDashDot">
        <color theme="5"/>
      </left>
      <right style="thin">
        <color indexed="64"/>
      </right>
      <top style="thin">
        <color indexed="64"/>
      </top>
      <bottom style="thin">
        <color indexed="64"/>
      </bottom>
      <diagonal/>
    </border>
    <border>
      <left/>
      <right style="mediumDashDot">
        <color theme="5"/>
      </right>
      <top/>
      <bottom/>
      <diagonal/>
    </border>
    <border>
      <left style="mediumDashDot">
        <color theme="5"/>
      </left>
      <right style="thin">
        <color indexed="64"/>
      </right>
      <top style="thin">
        <color indexed="64"/>
      </top>
      <bottom style="medium">
        <color indexed="64"/>
      </bottom>
      <diagonal/>
    </border>
    <border>
      <left style="mediumDashDot">
        <color theme="5"/>
      </left>
      <right style="thin">
        <color indexed="64"/>
      </right>
      <top/>
      <bottom style="thin">
        <color indexed="64"/>
      </bottom>
      <diagonal/>
    </border>
    <border>
      <left style="mediumDashDot">
        <color theme="5"/>
      </left>
      <right/>
      <top style="thin">
        <color rgb="FF000000"/>
      </top>
      <bottom style="thin">
        <color rgb="FF000000"/>
      </bottom>
      <diagonal/>
    </border>
    <border>
      <left style="mediumDashDot">
        <color theme="5"/>
      </left>
      <right/>
      <top/>
      <bottom style="mediumDashDot">
        <color theme="5"/>
      </bottom>
      <diagonal/>
    </border>
    <border>
      <left/>
      <right/>
      <top/>
      <bottom style="mediumDashDot">
        <color theme="5"/>
      </bottom>
      <diagonal/>
    </border>
    <border>
      <left/>
      <right style="mediumDashDot">
        <color theme="5"/>
      </right>
      <top/>
      <bottom style="mediumDashDot">
        <color theme="5"/>
      </bottom>
      <diagonal/>
    </border>
    <border>
      <left style="mediumDashDot">
        <color theme="5"/>
      </left>
      <right/>
      <top/>
      <bottom/>
      <diagonal/>
    </border>
    <border>
      <left style="thin">
        <color rgb="FF000000"/>
      </left>
      <right/>
      <top style="thin">
        <color rgb="FF000000"/>
      </top>
      <bottom style="mediumDashDot">
        <color theme="5"/>
      </bottom>
      <diagonal/>
    </border>
    <border>
      <left style="thin">
        <color rgb="FF000000"/>
      </left>
      <right style="thin">
        <color rgb="FF000000"/>
      </right>
      <top style="thin">
        <color rgb="FF000000"/>
      </top>
      <bottom style="mediumDashDot">
        <color theme="5"/>
      </bottom>
      <diagonal/>
    </border>
    <border>
      <left style="mediumDashDotDot">
        <color theme="5"/>
      </left>
      <right/>
      <top style="mediumDashDotDot">
        <color theme="5"/>
      </top>
      <bottom/>
      <diagonal/>
    </border>
    <border>
      <left/>
      <right/>
      <top style="mediumDashDotDot">
        <color theme="5"/>
      </top>
      <bottom/>
      <diagonal/>
    </border>
    <border>
      <left/>
      <right style="mediumDashDotDot">
        <color theme="5"/>
      </right>
      <top style="mediumDashDotDot">
        <color theme="5"/>
      </top>
      <bottom/>
      <diagonal/>
    </border>
    <border>
      <left style="mediumDashDotDot">
        <color theme="5"/>
      </left>
      <right/>
      <top/>
      <bottom/>
      <diagonal/>
    </border>
    <border>
      <left/>
      <right style="mediumDashDotDot">
        <color theme="5"/>
      </right>
      <top/>
      <bottom/>
      <diagonal/>
    </border>
    <border>
      <left style="mediumDashDotDot">
        <color theme="5"/>
      </left>
      <right style="thin">
        <color indexed="64"/>
      </right>
      <top style="thin">
        <color indexed="64"/>
      </top>
      <bottom style="thin">
        <color indexed="64"/>
      </bottom>
      <diagonal/>
    </border>
    <border>
      <left style="mediumDashDotDot">
        <color theme="5"/>
      </left>
      <right style="thin">
        <color indexed="64"/>
      </right>
      <top style="thin">
        <color indexed="64"/>
      </top>
      <bottom style="medium">
        <color indexed="64"/>
      </bottom>
      <diagonal/>
    </border>
    <border>
      <left style="mediumDashDotDot">
        <color theme="5"/>
      </left>
      <right style="thin">
        <color indexed="64"/>
      </right>
      <top/>
      <bottom style="thin">
        <color indexed="64"/>
      </bottom>
      <diagonal/>
    </border>
    <border>
      <left style="mediumDashDotDot">
        <color theme="5"/>
      </left>
      <right/>
      <top style="thin">
        <color rgb="FF000000"/>
      </top>
      <bottom style="mediumDashDotDot">
        <color theme="5"/>
      </bottom>
      <diagonal/>
    </border>
    <border>
      <left style="thin">
        <color rgb="FF000000"/>
      </left>
      <right style="thin">
        <color rgb="FF000000"/>
      </right>
      <top style="thin">
        <color rgb="FF000000"/>
      </top>
      <bottom style="mediumDashDotDot">
        <color theme="5"/>
      </bottom>
      <diagonal/>
    </border>
    <border>
      <left/>
      <right/>
      <top/>
      <bottom style="mediumDashDotDot">
        <color theme="5"/>
      </bottom>
      <diagonal/>
    </border>
    <border>
      <left/>
      <right style="mediumDashDotDot">
        <color theme="5"/>
      </right>
      <top/>
      <bottom style="mediumDashDotDot">
        <color theme="5"/>
      </bottom>
      <diagonal/>
    </border>
    <border>
      <left style="mediumDashDotDot">
        <color theme="5"/>
      </left>
      <right style="thin">
        <color indexed="64"/>
      </right>
      <top/>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7">
    <xf numFmtId="0" fontId="0" fillId="0" borderId="0"/>
    <xf numFmtId="0" fontId="2" fillId="0" borderId="0"/>
    <xf numFmtId="9" fontId="1" fillId="0" borderId="0" applyFont="0" applyFill="0" applyBorder="0" applyAlignment="0" applyProtection="0"/>
    <xf numFmtId="0" fontId="3" fillId="0" borderId="0" applyNumberFormat="0" applyFill="0" applyBorder="0" applyAlignment="0" applyProtection="0"/>
    <xf numFmtId="44" fontId="1" fillId="0" borderId="0" applyFont="0" applyFill="0" applyBorder="0" applyAlignment="0" applyProtection="0"/>
    <xf numFmtId="0" fontId="25" fillId="0" borderId="0"/>
    <xf numFmtId="0" fontId="1" fillId="14" borderId="0" applyNumberFormat="0" applyBorder="0" applyAlignment="0" applyProtection="0"/>
  </cellStyleXfs>
  <cellXfs count="538">
    <xf numFmtId="0" fontId="0" fillId="0" borderId="0" xfId="0"/>
    <xf numFmtId="0" fontId="5" fillId="2" borderId="0" xfId="0" applyFont="1" applyFill="1" applyAlignment="1" applyProtection="1">
      <alignment horizontal="left"/>
      <protection locked="0"/>
    </xf>
    <xf numFmtId="0" fontId="6" fillId="2" borderId="0" xfId="0" applyFont="1" applyFill="1" applyProtection="1">
      <protection locked="0"/>
    </xf>
    <xf numFmtId="0" fontId="5" fillId="2" borderId="0" xfId="0" applyFont="1" applyFill="1" applyProtection="1">
      <protection locked="0"/>
    </xf>
    <xf numFmtId="0" fontId="5" fillId="0" borderId="0" xfId="0" applyFont="1" applyProtection="1">
      <protection locked="0"/>
    </xf>
    <xf numFmtId="0" fontId="7" fillId="0" borderId="0" xfId="0" applyFont="1" applyAlignment="1" applyProtection="1">
      <alignment horizontal="centerContinuous" vertical="center"/>
      <protection locked="0"/>
    </xf>
    <xf numFmtId="0" fontId="5" fillId="0" borderId="0" xfId="0" applyFont="1" applyAlignment="1" applyProtection="1">
      <alignment horizontal="centerContinuous"/>
      <protection locked="0"/>
    </xf>
    <xf numFmtId="1" fontId="5" fillId="0" borderId="0" xfId="0" applyNumberFormat="1" applyFont="1" applyAlignment="1" applyProtection="1">
      <alignment horizontal="centerContinuous" vertical="center"/>
      <protection locked="0"/>
    </xf>
    <xf numFmtId="1" fontId="5" fillId="0" borderId="0" xfId="0" applyNumberFormat="1" applyFont="1" applyProtection="1">
      <protection locked="0"/>
    </xf>
    <xf numFmtId="0" fontId="7" fillId="0" borderId="0" xfId="0" applyFont="1" applyProtection="1">
      <protection locked="0"/>
    </xf>
    <xf numFmtId="1" fontId="5" fillId="0" borderId="0" xfId="0" applyNumberFormat="1" applyFont="1" applyAlignment="1" applyProtection="1">
      <alignment horizontal="left" vertical="center"/>
      <protection locked="0"/>
    </xf>
    <xf numFmtId="0" fontId="8" fillId="0" borderId="0" xfId="0" applyFont="1" applyProtection="1">
      <protection locked="0"/>
    </xf>
    <xf numFmtId="0" fontId="9" fillId="0" borderId="0" xfId="0" applyFont="1" applyProtection="1">
      <protection locked="0"/>
    </xf>
    <xf numFmtId="1" fontId="9" fillId="0" borderId="0" xfId="0" applyNumberFormat="1" applyFont="1" applyAlignment="1" applyProtection="1">
      <alignment horizontal="center" vertical="center"/>
      <protection locked="0"/>
    </xf>
    <xf numFmtId="0" fontId="9" fillId="0" borderId="0" xfId="0" applyFont="1" applyAlignment="1" applyProtection="1">
      <alignment horizontal="center"/>
      <protection locked="0"/>
    </xf>
    <xf numFmtId="1" fontId="10" fillId="0" borderId="0" xfId="0" applyNumberFormat="1" applyFont="1" applyAlignment="1" applyProtection="1">
      <alignment horizontal="center" vertical="center"/>
      <protection locked="0"/>
    </xf>
    <xf numFmtId="0" fontId="9" fillId="0" borderId="4" xfId="0" applyFont="1" applyBorder="1" applyAlignment="1" applyProtection="1">
      <alignment horizontal="left" vertical="center"/>
      <protection locked="0"/>
    </xf>
    <xf numFmtId="0" fontId="5" fillId="3" borderId="3" xfId="0" applyFont="1" applyFill="1" applyBorder="1" applyAlignment="1" applyProtection="1">
      <alignment vertical="center"/>
      <protection locked="0"/>
    </xf>
    <xf numFmtId="3" fontId="5" fillId="3" borderId="1" xfId="0" applyNumberFormat="1" applyFont="1" applyFill="1" applyBorder="1" applyAlignment="1" applyProtection="1">
      <alignment horizontal="center" vertical="center"/>
      <protection locked="0"/>
    </xf>
    <xf numFmtId="0" fontId="5" fillId="0" borderId="1" xfId="0" applyFont="1" applyBorder="1" applyAlignment="1">
      <alignment horizontal="center" vertical="center"/>
    </xf>
    <xf numFmtId="0" fontId="11" fillId="0" borderId="0" xfId="0" applyFont="1" applyAlignment="1" applyProtection="1">
      <alignment horizontal="center"/>
      <protection locked="0"/>
    </xf>
    <xf numFmtId="0" fontId="9" fillId="0" borderId="4" xfId="0" applyFont="1" applyBorder="1" applyAlignment="1" applyProtection="1">
      <alignment horizontal="left" vertical="center" wrapText="1"/>
      <protection locked="0"/>
    </xf>
    <xf numFmtId="0" fontId="5" fillId="3" borderId="14" xfId="0" applyFont="1" applyFill="1" applyBorder="1" applyAlignment="1" applyProtection="1">
      <alignment vertical="center"/>
      <protection locked="0"/>
    </xf>
    <xf numFmtId="3" fontId="5" fillId="3" borderId="18" xfId="0" applyNumberFormat="1" applyFont="1" applyFill="1" applyBorder="1" applyAlignment="1" applyProtection="1">
      <alignment horizontal="center" vertical="center"/>
      <protection locked="0"/>
    </xf>
    <xf numFmtId="0" fontId="5" fillId="0" borderId="19" xfId="0" applyFont="1" applyBorder="1" applyAlignment="1">
      <alignment horizontal="center" vertical="center"/>
    </xf>
    <xf numFmtId="3" fontId="5" fillId="3" borderId="19" xfId="0" applyNumberFormat="1" applyFont="1" applyFill="1" applyBorder="1" applyAlignment="1" applyProtection="1">
      <alignment horizontal="center" vertical="center"/>
      <protection locked="0"/>
    </xf>
    <xf numFmtId="0" fontId="5" fillId="0" borderId="3" xfId="0" applyFont="1" applyBorder="1" applyAlignment="1">
      <alignment horizontal="center" vertical="center"/>
    </xf>
    <xf numFmtId="0" fontId="5" fillId="0" borderId="10" xfId="0" applyFont="1" applyBorder="1" applyProtection="1">
      <protection locked="0"/>
    </xf>
    <xf numFmtId="3" fontId="5" fillId="0" borderId="17" xfId="0" applyNumberFormat="1" applyFont="1" applyBorder="1" applyAlignment="1" applyProtection="1">
      <alignment horizontal="center"/>
      <protection locked="0"/>
    </xf>
    <xf numFmtId="0" fontId="5" fillId="0" borderId="17" xfId="0" applyFont="1" applyBorder="1" applyProtection="1">
      <protection locked="0"/>
    </xf>
    <xf numFmtId="1" fontId="5" fillId="0" borderId="17" xfId="0" applyNumberFormat="1" applyFont="1" applyBorder="1" applyAlignment="1" applyProtection="1">
      <alignment horizontal="center" vertical="center"/>
      <protection locked="0"/>
    </xf>
    <xf numFmtId="3" fontId="5" fillId="0" borderId="11" xfId="0" applyNumberFormat="1"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5" fillId="0" borderId="12" xfId="0" applyFont="1" applyBorder="1" applyProtection="1">
      <protection locked="0"/>
    </xf>
    <xf numFmtId="167" fontId="5" fillId="3" borderId="13" xfId="0" applyNumberFormat="1" applyFont="1" applyFill="1" applyBorder="1" applyAlignment="1" applyProtection="1">
      <alignment horizontal="center" vertical="center"/>
      <protection locked="0"/>
    </xf>
    <xf numFmtId="164" fontId="5" fillId="3" borderId="3" xfId="0" applyNumberFormat="1" applyFont="1" applyFill="1" applyBorder="1" applyAlignment="1" applyProtection="1">
      <alignment horizontal="center" vertical="center"/>
      <protection locked="0"/>
    </xf>
    <xf numFmtId="0" fontId="5" fillId="0" borderId="12" xfId="0" applyFont="1" applyBorder="1" applyAlignment="1" applyProtection="1">
      <alignment wrapText="1"/>
      <protection locked="0"/>
    </xf>
    <xf numFmtId="1" fontId="5" fillId="0" borderId="0" xfId="0" applyNumberFormat="1" applyFont="1" applyAlignment="1" applyProtection="1">
      <alignment horizontal="left" vertical="top"/>
      <protection locked="0"/>
    </xf>
    <xf numFmtId="0" fontId="12" fillId="0" borderId="0" xfId="0" applyFont="1" applyProtection="1">
      <protection locked="0"/>
    </xf>
    <xf numFmtId="0" fontId="5" fillId="0" borderId="5" xfId="0" applyFont="1" applyBorder="1" applyProtection="1">
      <protection locked="0"/>
    </xf>
    <xf numFmtId="167" fontId="5" fillId="3" borderId="14" xfId="0" applyNumberFormat="1" applyFont="1" applyFill="1" applyBorder="1" applyAlignment="1" applyProtection="1">
      <alignment horizontal="center" vertical="center"/>
      <protection locked="0"/>
    </xf>
    <xf numFmtId="164" fontId="5" fillId="3" borderId="6" xfId="0" applyNumberFormat="1" applyFont="1" applyFill="1" applyBorder="1" applyAlignment="1" applyProtection="1">
      <alignment horizontal="center" vertical="center"/>
      <protection locked="0"/>
    </xf>
    <xf numFmtId="0" fontId="9" fillId="0" borderId="12" xfId="0" applyFont="1" applyBorder="1" applyProtection="1">
      <protection locked="0"/>
    </xf>
    <xf numFmtId="167" fontId="9" fillId="0" borderId="13" xfId="0" applyNumberFormat="1" applyFont="1" applyBorder="1" applyAlignment="1" applyProtection="1">
      <alignment horizontal="center" vertical="center"/>
      <protection locked="0"/>
    </xf>
    <xf numFmtId="164" fontId="5" fillId="0" borderId="3" xfId="0" applyNumberFormat="1" applyFont="1" applyBorder="1" applyAlignment="1" applyProtection="1">
      <alignment horizontal="center" vertical="center"/>
      <protection locked="0"/>
    </xf>
    <xf numFmtId="0" fontId="5" fillId="0" borderId="12" xfId="0" applyFont="1" applyBorder="1" applyAlignment="1" applyProtection="1">
      <alignment horizontal="left" indent="2"/>
      <protection locked="0"/>
    </xf>
    <xf numFmtId="0" fontId="5" fillId="0" borderId="7" xfId="0" applyFont="1" applyBorder="1" applyAlignment="1" applyProtection="1">
      <alignment horizontal="left" indent="2"/>
      <protection locked="0"/>
    </xf>
    <xf numFmtId="167" fontId="5" fillId="3" borderId="0" xfId="0" applyNumberFormat="1" applyFont="1" applyFill="1" applyAlignment="1" applyProtection="1">
      <alignment horizontal="center" vertical="center"/>
      <protection locked="0"/>
    </xf>
    <xf numFmtId="164" fontId="5" fillId="3" borderId="4" xfId="0" applyNumberFormat="1" applyFont="1" applyFill="1" applyBorder="1" applyAlignment="1" applyProtection="1">
      <alignment horizontal="center" vertical="center"/>
      <protection locked="0"/>
    </xf>
    <xf numFmtId="1" fontId="5" fillId="0" borderId="0" xfId="0" applyNumberFormat="1" applyFont="1" applyAlignment="1" applyProtection="1">
      <alignment horizontal="center" vertical="center"/>
      <protection locked="0"/>
    </xf>
    <xf numFmtId="1" fontId="5" fillId="0" borderId="1" xfId="0" applyNumberFormat="1" applyFont="1" applyBorder="1" applyProtection="1">
      <protection locked="0"/>
    </xf>
    <xf numFmtId="165" fontId="5" fillId="3" borderId="1" xfId="0" applyNumberFormat="1" applyFont="1" applyFill="1" applyBorder="1" applyAlignment="1" applyProtection="1">
      <alignment horizontal="center" vertical="center"/>
      <protection locked="0"/>
    </xf>
    <xf numFmtId="1" fontId="5" fillId="0" borderId="1" xfId="0" applyNumberFormat="1" applyFont="1" applyBorder="1" applyAlignment="1" applyProtection="1">
      <alignment horizontal="left" vertical="center"/>
      <protection locked="0"/>
    </xf>
    <xf numFmtId="9" fontId="5" fillId="3" borderId="1" xfId="2" applyFont="1" applyFill="1" applyBorder="1" applyAlignment="1" applyProtection="1">
      <alignment horizontal="center" vertical="center"/>
      <protection locked="0"/>
    </xf>
    <xf numFmtId="1" fontId="5" fillId="0" borderId="19" xfId="0" applyNumberFormat="1" applyFont="1" applyBorder="1" applyAlignment="1" applyProtection="1">
      <alignment horizontal="left" vertical="center"/>
      <protection locked="0"/>
    </xf>
    <xf numFmtId="165" fontId="5" fillId="3" borderId="19" xfId="0" applyNumberFormat="1" applyFont="1" applyFill="1" applyBorder="1" applyAlignment="1" applyProtection="1">
      <alignment horizontal="center" vertical="center"/>
      <protection locked="0"/>
    </xf>
    <xf numFmtId="1" fontId="5" fillId="0" borderId="16" xfId="0" applyNumberFormat="1" applyFont="1" applyBorder="1" applyAlignment="1" applyProtection="1">
      <alignment horizontal="left" vertical="center"/>
      <protection locked="0"/>
    </xf>
    <xf numFmtId="3" fontId="5" fillId="0" borderId="16" xfId="0" applyNumberFormat="1" applyFont="1" applyBorder="1" applyAlignment="1" applyProtection="1">
      <alignment horizontal="center" vertical="center"/>
      <protection locked="0"/>
    </xf>
    <xf numFmtId="3" fontId="5" fillId="0" borderId="33" xfId="0" applyNumberFormat="1" applyFont="1" applyBorder="1" applyAlignment="1" applyProtection="1">
      <alignment horizontal="center" vertical="center"/>
      <protection locked="0"/>
    </xf>
    <xf numFmtId="3" fontId="5" fillId="0" borderId="0" xfId="0" applyNumberFormat="1" applyFont="1" applyAlignment="1" applyProtection="1">
      <alignment horizontal="center" vertical="center"/>
      <protection locked="0"/>
    </xf>
    <xf numFmtId="0" fontId="13" fillId="0" borderId="0" xfId="1" applyFont="1" applyAlignment="1" applyProtection="1">
      <alignment horizontal="center"/>
      <protection locked="0"/>
    </xf>
    <xf numFmtId="0" fontId="12" fillId="0" borderId="27" xfId="1" applyFont="1" applyBorder="1" applyAlignment="1" applyProtection="1">
      <alignment horizontal="left"/>
      <protection locked="0"/>
    </xf>
    <xf numFmtId="6" fontId="12" fillId="0" borderId="25" xfId="1" applyNumberFormat="1" applyFont="1" applyBorder="1" applyProtection="1">
      <protection locked="0"/>
    </xf>
    <xf numFmtId="0" fontId="12" fillId="0" borderId="0" xfId="1" applyFont="1" applyProtection="1">
      <protection locked="0"/>
    </xf>
    <xf numFmtId="0" fontId="12" fillId="0" borderId="20" xfId="1" applyFont="1" applyBorder="1" applyAlignment="1" applyProtection="1">
      <alignment horizontal="left" indent="2"/>
      <protection locked="0"/>
    </xf>
    <xf numFmtId="6" fontId="12" fillId="0" borderId="21" xfId="1" applyNumberFormat="1" applyFont="1" applyBorder="1" applyProtection="1">
      <protection locked="0"/>
    </xf>
    <xf numFmtId="6" fontId="12" fillId="0" borderId="0" xfId="1" applyNumberFormat="1" applyFont="1" applyProtection="1">
      <protection locked="0"/>
    </xf>
    <xf numFmtId="6" fontId="12" fillId="3" borderId="21" xfId="1" applyNumberFormat="1" applyFont="1" applyFill="1" applyBorder="1" applyProtection="1">
      <protection locked="0"/>
    </xf>
    <xf numFmtId="6" fontId="12" fillId="3" borderId="23" xfId="1" applyNumberFormat="1" applyFont="1" applyFill="1" applyBorder="1" applyProtection="1">
      <protection locked="0"/>
    </xf>
    <xf numFmtId="0" fontId="12" fillId="0" borderId="24" xfId="1" applyFont="1" applyBorder="1" applyAlignment="1" applyProtection="1">
      <alignment horizontal="right"/>
      <protection locked="0"/>
    </xf>
    <xf numFmtId="0" fontId="12" fillId="0" borderId="24" xfId="1" applyFont="1" applyBorder="1" applyAlignment="1" applyProtection="1">
      <alignment horizontal="right" wrapText="1"/>
      <protection locked="0"/>
    </xf>
    <xf numFmtId="0" fontId="12" fillId="0" borderId="20" xfId="1" applyFont="1" applyBorder="1" applyProtection="1">
      <protection locked="0"/>
    </xf>
    <xf numFmtId="0" fontId="12" fillId="0" borderId="20" xfId="1" applyFont="1" applyBorder="1" applyAlignment="1" applyProtection="1">
      <alignment wrapText="1"/>
      <protection locked="0"/>
    </xf>
    <xf numFmtId="0" fontId="12" fillId="0" borderId="20" xfId="1" applyFont="1" applyBorder="1" applyAlignment="1" applyProtection="1">
      <alignment horizontal="left" wrapText="1" indent="2"/>
      <protection locked="0"/>
    </xf>
    <xf numFmtId="168" fontId="9" fillId="0" borderId="7" xfId="0" applyNumberFormat="1" applyFont="1" applyBorder="1" applyAlignment="1" applyProtection="1">
      <alignment horizontal="left" vertical="center"/>
      <protection locked="0"/>
    </xf>
    <xf numFmtId="8" fontId="12" fillId="3" borderId="21" xfId="1" applyNumberFormat="1" applyFont="1" applyFill="1" applyBorder="1" applyProtection="1">
      <protection locked="0"/>
    </xf>
    <xf numFmtId="38" fontId="12" fillId="3" borderId="21" xfId="1" applyNumberFormat="1" applyFont="1" applyFill="1" applyBorder="1" applyProtection="1">
      <protection locked="0"/>
    </xf>
    <xf numFmtId="168" fontId="9" fillId="0" borderId="0" xfId="0" applyNumberFormat="1" applyFont="1" applyAlignment="1" applyProtection="1">
      <alignment horizontal="left" vertical="center" indent="1"/>
      <protection locked="0"/>
    </xf>
    <xf numFmtId="0" fontId="12" fillId="0" borderId="26" xfId="1" applyFont="1" applyBorder="1" applyAlignment="1" applyProtection="1">
      <alignment horizontal="left" wrapText="1" indent="2"/>
      <protection locked="0"/>
    </xf>
    <xf numFmtId="0" fontId="12" fillId="0" borderId="27" xfId="1" applyFont="1" applyBorder="1" applyAlignment="1" applyProtection="1">
      <alignment horizontal="right"/>
      <protection locked="0"/>
    </xf>
    <xf numFmtId="0" fontId="12" fillId="0" borderId="27" xfId="1" applyFont="1" applyBorder="1" applyAlignment="1" applyProtection="1">
      <alignment horizontal="right" wrapText="1"/>
      <protection locked="0"/>
    </xf>
    <xf numFmtId="6" fontId="12" fillId="0" borderId="23" xfId="1" applyNumberFormat="1" applyFont="1" applyBorder="1" applyProtection="1">
      <protection locked="0"/>
    </xf>
    <xf numFmtId="0" fontId="12" fillId="0" borderId="20" xfId="1" applyFont="1" applyBorder="1" applyAlignment="1" applyProtection="1">
      <alignment horizontal="center" wrapText="1"/>
      <protection locked="0"/>
    </xf>
    <xf numFmtId="0" fontId="12" fillId="0" borderId="26" xfId="1" applyFont="1" applyBorder="1" applyAlignment="1" applyProtection="1">
      <alignment horizontal="left" indent="2"/>
      <protection locked="0"/>
    </xf>
    <xf numFmtId="0" fontId="12" fillId="0" borderId="26" xfId="1" applyFont="1" applyBorder="1" applyAlignment="1" applyProtection="1">
      <alignment horizontal="center"/>
      <protection locked="0"/>
    </xf>
    <xf numFmtId="0" fontId="12" fillId="0" borderId="23" xfId="1" applyFont="1" applyBorder="1" applyProtection="1">
      <protection locked="0"/>
    </xf>
    <xf numFmtId="0" fontId="12" fillId="0" borderId="26" xfId="1" applyFont="1" applyBorder="1" applyAlignment="1" applyProtection="1">
      <alignment horizontal="center" wrapText="1"/>
      <protection locked="0"/>
    </xf>
    <xf numFmtId="6" fontId="12" fillId="0" borderId="9" xfId="1" applyNumberFormat="1" applyFont="1" applyBorder="1" applyProtection="1">
      <protection locked="0"/>
    </xf>
    <xf numFmtId="10" fontId="5" fillId="3" borderId="0" xfId="2" applyNumberFormat="1" applyFont="1" applyFill="1" applyProtection="1">
      <protection locked="0"/>
    </xf>
    <xf numFmtId="0" fontId="6" fillId="2" borderId="0" xfId="0" applyFont="1" applyFill="1" applyAlignment="1" applyProtection="1">
      <alignment wrapText="1"/>
      <protection locked="0"/>
    </xf>
    <xf numFmtId="0" fontId="9" fillId="0" borderId="0" xfId="0" applyFont="1" applyAlignment="1" applyProtection="1">
      <alignment wrapText="1"/>
      <protection locked="0"/>
    </xf>
    <xf numFmtId="0" fontId="5" fillId="3" borderId="6" xfId="0" applyFont="1" applyFill="1" applyBorder="1" applyAlignment="1" applyProtection="1">
      <alignment vertical="center" wrapText="1"/>
      <protection locked="0"/>
    </xf>
    <xf numFmtId="3" fontId="5" fillId="3" borderId="2" xfId="0" applyNumberFormat="1" applyFont="1" applyFill="1" applyBorder="1" applyAlignment="1" applyProtection="1">
      <alignment horizontal="center" vertical="center"/>
      <protection locked="0"/>
    </xf>
    <xf numFmtId="0" fontId="5" fillId="0" borderId="2" xfId="0" applyFont="1" applyBorder="1" applyAlignment="1">
      <alignment horizontal="center" vertical="center"/>
    </xf>
    <xf numFmtId="4" fontId="11" fillId="0" borderId="0" xfId="0" applyNumberFormat="1"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10" xfId="0" applyFont="1" applyBorder="1" applyAlignment="1" applyProtection="1">
      <alignment wrapText="1"/>
      <protection locked="0"/>
    </xf>
    <xf numFmtId="3" fontId="5" fillId="0" borderId="31" xfId="0" applyNumberFormat="1" applyFont="1" applyBorder="1" applyAlignment="1" applyProtection="1">
      <alignment horizontal="center"/>
      <protection locked="0"/>
    </xf>
    <xf numFmtId="0" fontId="5" fillId="0" borderId="11" xfId="0" applyFont="1" applyBorder="1" applyProtection="1">
      <protection locked="0"/>
    </xf>
    <xf numFmtId="0" fontId="5" fillId="0" borderId="0" xfId="0" applyFont="1" applyAlignment="1" applyProtection="1">
      <alignment wrapText="1"/>
      <protection locked="0"/>
    </xf>
    <xf numFmtId="3" fontId="5" fillId="0" borderId="0" xfId="0" applyNumberFormat="1" applyFont="1" applyAlignment="1" applyProtection="1">
      <alignment horizontal="center"/>
      <protection locked="0"/>
    </xf>
    <xf numFmtId="0" fontId="12" fillId="0" borderId="0" xfId="0" applyFont="1" applyAlignment="1" applyProtection="1">
      <alignment horizontal="center" wrapText="1"/>
      <protection locked="0"/>
    </xf>
    <xf numFmtId="0" fontId="12" fillId="0" borderId="0" xfId="0" applyFont="1" applyAlignment="1" applyProtection="1">
      <alignment horizontal="center"/>
      <protection locked="0"/>
    </xf>
    <xf numFmtId="0" fontId="5" fillId="0" borderId="7" xfId="0" applyFont="1" applyBorder="1" applyAlignment="1" applyProtection="1">
      <alignment wrapText="1"/>
      <protection locked="0"/>
    </xf>
    <xf numFmtId="1" fontId="5" fillId="0" borderId="0" xfId="0" applyNumberFormat="1" applyFont="1" applyAlignment="1" applyProtection="1">
      <alignment vertical="top"/>
      <protection locked="0"/>
    </xf>
    <xf numFmtId="0" fontId="5" fillId="0" borderId="0" xfId="0" applyFont="1" applyAlignment="1" applyProtection="1">
      <alignment vertical="top"/>
      <protection locked="0"/>
    </xf>
    <xf numFmtId="0" fontId="5" fillId="0" borderId="5" xfId="0" applyFont="1" applyBorder="1" applyAlignment="1" applyProtection="1">
      <alignment wrapText="1"/>
      <protection locked="0"/>
    </xf>
    <xf numFmtId="166" fontId="5" fillId="0" borderId="0" xfId="0" applyNumberFormat="1" applyFont="1" applyAlignment="1" applyProtection="1">
      <alignment vertical="top"/>
      <protection locked="0"/>
    </xf>
    <xf numFmtId="167" fontId="5" fillId="6" borderId="0" xfId="0" applyNumberFormat="1" applyFont="1" applyFill="1" applyAlignment="1" applyProtection="1">
      <alignment horizontal="center" vertical="center"/>
      <protection locked="0"/>
    </xf>
    <xf numFmtId="164" fontId="5" fillId="6" borderId="0" xfId="0" applyNumberFormat="1" applyFont="1" applyFill="1" applyAlignment="1" applyProtection="1">
      <alignment horizontal="center" vertical="center"/>
      <protection locked="0"/>
    </xf>
    <xf numFmtId="3" fontId="5" fillId="0" borderId="15" xfId="0" applyNumberFormat="1" applyFont="1" applyBorder="1" applyAlignment="1" applyProtection="1">
      <alignment horizontal="center" vertical="center"/>
      <protection locked="0"/>
    </xf>
    <xf numFmtId="1" fontId="5" fillId="0" borderId="0" xfId="0" applyNumberFormat="1" applyFont="1" applyAlignment="1" applyProtection="1">
      <alignment horizontal="left" vertical="center" wrapText="1"/>
      <protection locked="0"/>
    </xf>
    <xf numFmtId="165" fontId="5" fillId="0" borderId="0" xfId="0" applyNumberFormat="1" applyFont="1" applyProtection="1">
      <protection locked="0"/>
    </xf>
    <xf numFmtId="168" fontId="14" fillId="0" borderId="0" xfId="0" applyNumberFormat="1" applyFont="1" applyAlignment="1" applyProtection="1">
      <alignment horizontal="left" vertical="center" indent="1"/>
      <protection locked="0"/>
    </xf>
    <xf numFmtId="6" fontId="12" fillId="0" borderId="0" xfId="1" applyNumberFormat="1" applyFont="1" applyAlignment="1" applyProtection="1">
      <alignment horizontal="left" vertical="top" wrapText="1"/>
      <protection locked="0"/>
    </xf>
    <xf numFmtId="0" fontId="5" fillId="2" borderId="0" xfId="0" applyFont="1" applyFill="1" applyAlignment="1">
      <alignment horizontal="left"/>
    </xf>
    <xf numFmtId="0" fontId="6" fillId="2" borderId="0" xfId="0" applyFont="1" applyFill="1"/>
    <xf numFmtId="0" fontId="5" fillId="2" borderId="0" xfId="0" applyFont="1" applyFill="1"/>
    <xf numFmtId="0" fontId="5" fillId="0" borderId="0" xfId="0" applyFont="1"/>
    <xf numFmtId="0" fontId="7" fillId="0" borderId="0" xfId="0" applyFont="1" applyAlignment="1">
      <alignment horizontal="centerContinuous" vertical="center"/>
    </xf>
    <xf numFmtId="0" fontId="5" fillId="0" borderId="0" xfId="0" applyFont="1" applyAlignment="1">
      <alignment horizontal="centerContinuous"/>
    </xf>
    <xf numFmtId="1" fontId="5" fillId="0" borderId="0" xfId="0" applyNumberFormat="1" applyFont="1" applyAlignment="1">
      <alignment horizontal="centerContinuous" vertical="center"/>
    </xf>
    <xf numFmtId="1" fontId="5" fillId="0" borderId="0" xfId="0" applyNumberFormat="1" applyFont="1"/>
    <xf numFmtId="0" fontId="7" fillId="0" borderId="0" xfId="0" applyFont="1"/>
    <xf numFmtId="1" fontId="5" fillId="0" borderId="0" xfId="0" applyNumberFormat="1" applyFont="1" applyAlignment="1">
      <alignment horizontal="left" vertical="center"/>
    </xf>
    <xf numFmtId="0" fontId="5" fillId="0" borderId="1" xfId="0" applyFont="1" applyBorder="1" applyAlignment="1">
      <alignment vertical="center"/>
    </xf>
    <xf numFmtId="0" fontId="5" fillId="3" borderId="1" xfId="0" applyFont="1" applyFill="1" applyBorder="1" applyAlignment="1">
      <alignment horizontal="center" vertical="center"/>
    </xf>
    <xf numFmtId="1" fontId="5" fillId="0" borderId="1" xfId="0" applyNumberFormat="1" applyFont="1" applyBorder="1" applyAlignment="1">
      <alignment horizontal="left" wrapText="1"/>
    </xf>
    <xf numFmtId="1" fontId="5" fillId="0" borderId="0" xfId="0" applyNumberFormat="1" applyFont="1" applyAlignment="1" applyProtection="1">
      <alignment horizontal="centerContinuous"/>
      <protection locked="0"/>
    </xf>
    <xf numFmtId="0" fontId="9" fillId="0" borderId="0" xfId="0" applyFont="1" applyAlignment="1" applyProtection="1">
      <alignment horizontal="center" vertical="top" wrapText="1"/>
      <protection locked="0"/>
    </xf>
    <xf numFmtId="1" fontId="9" fillId="0" borderId="0" xfId="0" applyNumberFormat="1" applyFont="1" applyAlignment="1" applyProtection="1">
      <alignment horizontal="center" vertical="top" wrapText="1"/>
      <protection locked="0"/>
    </xf>
    <xf numFmtId="0" fontId="5" fillId="3" borderId="6" xfId="0" applyFont="1" applyFill="1" applyBorder="1" applyAlignment="1" applyProtection="1">
      <alignment vertical="center"/>
      <protection locked="0"/>
    </xf>
    <xf numFmtId="0" fontId="5" fillId="0" borderId="31" xfId="0" applyFont="1" applyBorder="1" applyProtection="1">
      <protection locked="0"/>
    </xf>
    <xf numFmtId="1" fontId="5" fillId="0" borderId="31" xfId="0" applyNumberFormat="1" applyFont="1" applyBorder="1" applyAlignment="1" applyProtection="1">
      <alignment horizontal="center" vertical="center"/>
      <protection locked="0"/>
    </xf>
    <xf numFmtId="167" fontId="5" fillId="0" borderId="13" xfId="0" applyNumberFormat="1" applyFont="1" applyBorder="1" applyAlignment="1" applyProtection="1">
      <alignment horizontal="center" vertical="center"/>
      <protection locked="0"/>
    </xf>
    <xf numFmtId="166" fontId="5" fillId="0" borderId="7" xfId="0" applyNumberFormat="1" applyFont="1" applyBorder="1" applyAlignment="1" applyProtection="1">
      <alignment vertical="center"/>
      <protection locked="0"/>
    </xf>
    <xf numFmtId="166" fontId="5" fillId="0" borderId="0" xfId="0" applyNumberFormat="1" applyFont="1" applyAlignment="1" applyProtection="1">
      <alignment vertical="center"/>
      <protection locked="0"/>
    </xf>
    <xf numFmtId="0" fontId="7" fillId="0" borderId="32" xfId="0" applyFont="1" applyBorder="1"/>
    <xf numFmtId="0" fontId="5" fillId="0" borderId="32" xfId="0" applyFont="1" applyBorder="1"/>
    <xf numFmtId="1" fontId="5" fillId="0" borderId="32" xfId="0" applyNumberFormat="1" applyFont="1" applyBorder="1" applyAlignment="1">
      <alignment horizontal="left" vertical="center"/>
    </xf>
    <xf numFmtId="1" fontId="5" fillId="0" borderId="32" xfId="0" applyNumberFormat="1" applyFont="1" applyBorder="1"/>
    <xf numFmtId="0" fontId="8" fillId="0" borderId="0" xfId="0" applyFont="1"/>
    <xf numFmtId="0" fontId="9" fillId="0" borderId="0" xfId="0" applyFont="1" applyAlignment="1">
      <alignment horizontal="center" vertical="center"/>
    </xf>
    <xf numFmtId="0" fontId="12" fillId="0" borderId="0" xfId="0" applyFont="1"/>
    <xf numFmtId="0" fontId="16" fillId="0" borderId="0" xfId="3" applyFont="1"/>
    <xf numFmtId="0" fontId="12" fillId="0" borderId="1" xfId="0" applyFont="1" applyBorder="1"/>
    <xf numFmtId="0" fontId="12" fillId="0" borderId="2" xfId="0" applyFont="1" applyBorder="1"/>
    <xf numFmtId="0" fontId="12" fillId="0" borderId="5" xfId="0" applyFont="1" applyBorder="1"/>
    <xf numFmtId="0" fontId="12" fillId="0" borderId="7" xfId="0" applyFont="1" applyBorder="1"/>
    <xf numFmtId="0" fontId="12" fillId="0" borderId="8" xfId="0" applyFont="1" applyBorder="1"/>
    <xf numFmtId="172" fontId="12" fillId="3" borderId="21" xfId="1" applyNumberFormat="1" applyFont="1" applyFill="1" applyBorder="1" applyProtection="1">
      <protection locked="0"/>
    </xf>
    <xf numFmtId="167" fontId="5" fillId="6" borderId="14" xfId="0" applyNumberFormat="1" applyFont="1" applyFill="1" applyBorder="1" applyAlignment="1" applyProtection="1">
      <alignment horizontal="center" vertical="center"/>
      <protection locked="0"/>
    </xf>
    <xf numFmtId="6" fontId="12" fillId="0" borderId="1" xfId="1" applyNumberFormat="1" applyFont="1" applyBorder="1" applyProtection="1">
      <protection locked="0"/>
    </xf>
    <xf numFmtId="0" fontId="12" fillId="0" borderId="22" xfId="1" applyFont="1" applyBorder="1" applyAlignment="1" applyProtection="1">
      <alignment horizontal="left" wrapText="1" indent="2"/>
      <protection locked="0"/>
    </xf>
    <xf numFmtId="0" fontId="15" fillId="0" borderId="20" xfId="1" applyFont="1" applyBorder="1" applyAlignment="1" applyProtection="1">
      <alignment horizontal="left" indent="4"/>
      <protection locked="0"/>
    </xf>
    <xf numFmtId="0" fontId="15" fillId="0" borderId="20" xfId="1" applyFont="1" applyBorder="1" applyAlignment="1" applyProtection="1">
      <alignment horizontal="left" wrapText="1" indent="4"/>
      <protection locked="0"/>
    </xf>
    <xf numFmtId="0" fontId="15" fillId="0" borderId="20" xfId="1" applyFont="1" applyBorder="1" applyAlignment="1" applyProtection="1">
      <alignment horizontal="left" indent="5"/>
      <protection locked="0"/>
    </xf>
    <xf numFmtId="0" fontId="15" fillId="0" borderId="20" xfId="1" applyFont="1" applyBorder="1" applyAlignment="1" applyProtection="1">
      <alignment horizontal="left" wrapText="1" indent="5"/>
      <protection locked="0"/>
    </xf>
    <xf numFmtId="0" fontId="13" fillId="0" borderId="27" xfId="1" applyFont="1" applyBorder="1" applyAlignment="1" applyProtection="1">
      <alignment horizontal="left" wrapText="1"/>
      <protection locked="0"/>
    </xf>
    <xf numFmtId="0" fontId="13" fillId="0" borderId="20" xfId="1" applyFont="1" applyBorder="1" applyAlignment="1" applyProtection="1">
      <alignment horizontal="left" wrapText="1"/>
      <protection locked="0"/>
    </xf>
    <xf numFmtId="0" fontId="13" fillId="0" borderId="26" xfId="1" applyFont="1" applyBorder="1" applyAlignment="1" applyProtection="1">
      <alignment horizontal="left" wrapText="1"/>
      <protection locked="0"/>
    </xf>
    <xf numFmtId="0" fontId="13" fillId="0" borderId="8" xfId="1" applyFont="1" applyBorder="1" applyAlignment="1" applyProtection="1">
      <alignment horizontal="left" wrapText="1"/>
      <protection locked="0"/>
    </xf>
    <xf numFmtId="0" fontId="13" fillId="0" borderId="20" xfId="1" applyFont="1" applyBorder="1" applyAlignment="1" applyProtection="1">
      <alignment horizontal="left"/>
      <protection locked="0"/>
    </xf>
    <xf numFmtId="0" fontId="13" fillId="0" borderId="27" xfId="1" applyFont="1" applyBorder="1" applyAlignment="1" applyProtection="1">
      <alignment horizontal="left"/>
      <protection locked="0"/>
    </xf>
    <xf numFmtId="0" fontId="13" fillId="0" borderId="26" xfId="1" applyFont="1" applyBorder="1" applyAlignment="1" applyProtection="1">
      <alignment horizontal="left"/>
      <protection locked="0"/>
    </xf>
    <xf numFmtId="0" fontId="13" fillId="0" borderId="8" xfId="1" applyFont="1" applyBorder="1" applyAlignment="1" applyProtection="1">
      <alignment horizontal="left"/>
      <protection locked="0"/>
    </xf>
    <xf numFmtId="0" fontId="15" fillId="0" borderId="20" xfId="1" applyFont="1" applyBorder="1" applyAlignment="1" applyProtection="1">
      <alignment horizontal="left" indent="3"/>
      <protection locked="0"/>
    </xf>
    <xf numFmtId="0" fontId="15" fillId="0" borderId="20" xfId="1" applyFont="1" applyBorder="1" applyAlignment="1" applyProtection="1">
      <alignment horizontal="left" wrapText="1" indent="3"/>
      <protection locked="0"/>
    </xf>
    <xf numFmtId="167" fontId="9" fillId="0" borderId="0" xfId="0" applyNumberFormat="1" applyFont="1" applyAlignment="1" applyProtection="1">
      <alignment horizontal="center" vertical="center"/>
      <protection locked="0"/>
    </xf>
    <xf numFmtId="164" fontId="5" fillId="0" borderId="0" xfId="0" applyNumberFormat="1" applyFont="1" applyAlignment="1" applyProtection="1">
      <alignment horizontal="center" vertical="center"/>
      <protection locked="0"/>
    </xf>
    <xf numFmtId="170" fontId="9" fillId="0" borderId="0" xfId="0" applyNumberFormat="1" applyFont="1" applyAlignment="1" applyProtection="1">
      <alignment horizontal="left" vertical="top"/>
      <protection locked="0"/>
    </xf>
    <xf numFmtId="0" fontId="12" fillId="7" borderId="2" xfId="0" applyFont="1" applyFill="1" applyBorder="1" applyAlignment="1">
      <alignment horizontal="center" wrapText="1"/>
    </xf>
    <xf numFmtId="0" fontId="12" fillId="7" borderId="2" xfId="0" applyFont="1" applyFill="1" applyBorder="1" applyAlignment="1">
      <alignment horizontal="center"/>
    </xf>
    <xf numFmtId="0" fontId="12" fillId="7" borderId="15" xfId="0" applyFont="1" applyFill="1" applyBorder="1" applyAlignment="1">
      <alignment horizontal="center" wrapText="1"/>
    </xf>
    <xf numFmtId="0" fontId="12" fillId="7" borderId="15" xfId="0" applyFont="1" applyFill="1" applyBorder="1" applyAlignment="1">
      <alignment horizontal="center"/>
    </xf>
    <xf numFmtId="0" fontId="12" fillId="7" borderId="16" xfId="0" applyFont="1" applyFill="1" applyBorder="1" applyAlignment="1">
      <alignment horizontal="center" wrapText="1"/>
    </xf>
    <xf numFmtId="0" fontId="12" fillId="7" borderId="16" xfId="0" applyFont="1" applyFill="1" applyBorder="1" applyAlignment="1">
      <alignment horizontal="center"/>
    </xf>
    <xf numFmtId="0" fontId="12" fillId="7" borderId="1" xfId="0" applyFont="1" applyFill="1" applyBorder="1" applyAlignment="1">
      <alignment horizontal="center" wrapText="1"/>
    </xf>
    <xf numFmtId="0" fontId="18" fillId="0" borderId="0" xfId="0" applyFont="1" applyAlignment="1">
      <alignment horizontal="centerContinuous" vertical="center"/>
    </xf>
    <xf numFmtId="0" fontId="17" fillId="0" borderId="0" xfId="0" applyFont="1" applyAlignment="1">
      <alignment horizontal="centerContinuous"/>
    </xf>
    <xf numFmtId="1" fontId="17" fillId="0" borderId="0" xfId="0" applyNumberFormat="1" applyFont="1" applyAlignment="1">
      <alignment horizontal="centerContinuous" vertical="center"/>
    </xf>
    <xf numFmtId="1" fontId="17" fillId="0" borderId="0" xfId="0" applyNumberFormat="1" applyFont="1"/>
    <xf numFmtId="0" fontId="17" fillId="0" borderId="0" xfId="0" applyFont="1"/>
    <xf numFmtId="0" fontId="18" fillId="0" borderId="0" xfId="0" applyFont="1"/>
    <xf numFmtId="0" fontId="17" fillId="0" borderId="0" xfId="0" applyFont="1" applyAlignment="1">
      <alignment horizontal="center" wrapText="1"/>
    </xf>
    <xf numFmtId="1" fontId="17" fillId="0" borderId="0" xfId="0" applyNumberFormat="1" applyFont="1" applyAlignment="1">
      <alignment horizontal="center" wrapText="1"/>
    </xf>
    <xf numFmtId="0" fontId="17" fillId="0" borderId="1" xfId="0" applyFont="1" applyBorder="1" applyAlignment="1">
      <alignment vertical="center"/>
    </xf>
    <xf numFmtId="3" fontId="17" fillId="4" borderId="1" xfId="0" applyNumberFormat="1" applyFont="1" applyFill="1" applyBorder="1" applyAlignment="1">
      <alignment horizontal="center" vertical="center"/>
    </xf>
    <xf numFmtId="6" fontId="17" fillId="4" borderId="1" xfId="0" applyNumberFormat="1" applyFont="1" applyFill="1" applyBorder="1" applyAlignment="1">
      <alignment horizontal="center" vertical="center"/>
    </xf>
    <xf numFmtId="0" fontId="17" fillId="0" borderId="1" xfId="0" applyFont="1" applyBorder="1"/>
    <xf numFmtId="38" fontId="17" fillId="4" borderId="1" xfId="0" applyNumberFormat="1" applyFont="1" applyFill="1" applyBorder="1" applyAlignment="1">
      <alignment horizontal="center" vertical="center"/>
    </xf>
    <xf numFmtId="0" fontId="17" fillId="0" borderId="1" xfId="0" applyFont="1" applyBorder="1" applyAlignment="1">
      <alignment vertical="center" wrapText="1"/>
    </xf>
    <xf numFmtId="3" fontId="19" fillId="4" borderId="1" xfId="0" applyNumberFormat="1" applyFont="1" applyFill="1" applyBorder="1" applyAlignment="1">
      <alignment horizontal="center" vertical="center"/>
    </xf>
    <xf numFmtId="8" fontId="17" fillId="4" borderId="1" xfId="0" applyNumberFormat="1" applyFont="1" applyFill="1" applyBorder="1" applyAlignment="1">
      <alignment horizontal="center" vertical="center"/>
    </xf>
    <xf numFmtId="2" fontId="20" fillId="0" borderId="0" xfId="0" applyNumberFormat="1" applyFont="1" applyAlignment="1">
      <alignment horizontal="center"/>
    </xf>
    <xf numFmtId="1" fontId="20" fillId="0" borderId="0" xfId="0" applyNumberFormat="1" applyFont="1" applyAlignment="1">
      <alignment horizontal="left" vertical="center"/>
    </xf>
    <xf numFmtId="0" fontId="21" fillId="0" borderId="0" xfId="0" applyFont="1"/>
    <xf numFmtId="1" fontId="17" fillId="0" borderId="0" xfId="0" applyNumberFormat="1" applyFont="1" applyAlignment="1">
      <alignment horizontal="left" vertical="center"/>
    </xf>
    <xf numFmtId="1" fontId="22" fillId="0" borderId="0" xfId="0" applyNumberFormat="1" applyFont="1"/>
    <xf numFmtId="0" fontId="22" fillId="0" borderId="0" xfId="0" applyFont="1"/>
    <xf numFmtId="1" fontId="22" fillId="0" borderId="0" xfId="0" applyNumberFormat="1" applyFont="1" applyAlignment="1">
      <alignment horizontal="left" vertical="center"/>
    </xf>
    <xf numFmtId="168" fontId="23" fillId="0" borderId="7" xfId="0" applyNumberFormat="1" applyFont="1" applyBorder="1" applyAlignment="1" applyProtection="1">
      <alignment horizontal="left" vertical="center"/>
      <protection locked="0"/>
    </xf>
    <xf numFmtId="168" fontId="23" fillId="0" borderId="7" xfId="0" applyNumberFormat="1" applyFont="1" applyBorder="1" applyAlignment="1" applyProtection="1">
      <alignment horizontal="left" vertical="center" wrapText="1"/>
      <protection locked="0"/>
    </xf>
    <xf numFmtId="1" fontId="5" fillId="0" borderId="37" xfId="0" applyNumberFormat="1" applyFont="1" applyBorder="1" applyProtection="1">
      <protection locked="0"/>
    </xf>
    <xf numFmtId="1" fontId="5" fillId="0" borderId="37" xfId="0" applyNumberFormat="1" applyFont="1" applyBorder="1" applyAlignment="1" applyProtection="1">
      <alignment horizontal="left" vertical="center"/>
      <protection locked="0"/>
    </xf>
    <xf numFmtId="1" fontId="5" fillId="0" borderId="39" xfId="0" applyNumberFormat="1" applyFont="1" applyBorder="1" applyAlignment="1" applyProtection="1">
      <alignment horizontal="left" vertical="center"/>
      <protection locked="0"/>
    </xf>
    <xf numFmtId="1" fontId="5" fillId="0" borderId="40" xfId="0" applyNumberFormat="1" applyFont="1" applyBorder="1" applyAlignment="1" applyProtection="1">
      <alignment horizontal="left" vertical="center"/>
      <protection locked="0"/>
    </xf>
    <xf numFmtId="1" fontId="5" fillId="0" borderId="38" xfId="0" applyNumberFormat="1" applyFont="1" applyBorder="1" applyProtection="1">
      <protection locked="0"/>
    </xf>
    <xf numFmtId="1" fontId="5" fillId="0" borderId="41" xfId="0" applyNumberFormat="1" applyFont="1" applyBorder="1" applyAlignment="1" applyProtection="1">
      <alignment horizontal="left" vertical="center" wrapText="1"/>
      <protection locked="0"/>
    </xf>
    <xf numFmtId="1" fontId="5" fillId="0" borderId="42" xfId="0" applyNumberFormat="1" applyFont="1" applyBorder="1" applyAlignment="1" applyProtection="1">
      <alignment horizontal="left" vertical="center"/>
      <protection locked="0"/>
    </xf>
    <xf numFmtId="3" fontId="5" fillId="0" borderId="43" xfId="0" applyNumberFormat="1" applyFont="1" applyBorder="1" applyAlignment="1" applyProtection="1">
      <alignment horizontal="center" vertical="center"/>
      <protection locked="0"/>
    </xf>
    <xf numFmtId="0" fontId="5" fillId="0" borderId="43" xfId="0" applyFont="1" applyBorder="1" applyProtection="1">
      <protection locked="0"/>
    </xf>
    <xf numFmtId="1" fontId="5" fillId="0" borderId="43" xfId="0" applyNumberFormat="1" applyFont="1" applyBorder="1" applyAlignment="1" applyProtection="1">
      <alignment horizontal="left" vertical="center"/>
      <protection locked="0"/>
    </xf>
    <xf numFmtId="1" fontId="5" fillId="0" borderId="44" xfId="0" applyNumberFormat="1" applyFont="1" applyBorder="1" applyProtection="1">
      <protection locked="0"/>
    </xf>
    <xf numFmtId="1" fontId="15" fillId="0" borderId="34" xfId="0" applyNumberFormat="1" applyFont="1" applyBorder="1" applyAlignment="1" applyProtection="1">
      <alignment vertical="center" wrapText="1"/>
      <protection locked="0"/>
    </xf>
    <xf numFmtId="1" fontId="15" fillId="0" borderId="35" xfId="0" applyNumberFormat="1" applyFont="1" applyBorder="1" applyAlignment="1" applyProtection="1">
      <alignment vertical="center" wrapText="1"/>
      <protection locked="0"/>
    </xf>
    <xf numFmtId="1" fontId="15" fillId="0" borderId="36" xfId="0" applyNumberFormat="1" applyFont="1" applyBorder="1" applyAlignment="1" applyProtection="1">
      <alignment vertical="center" wrapText="1"/>
      <protection locked="0"/>
    </xf>
    <xf numFmtId="0" fontId="5" fillId="0" borderId="34" xfId="0" applyFont="1" applyBorder="1" applyProtection="1">
      <protection locked="0"/>
    </xf>
    <xf numFmtId="0" fontId="5" fillId="0" borderId="35" xfId="0" applyFont="1" applyBorder="1" applyProtection="1">
      <protection locked="0"/>
    </xf>
    <xf numFmtId="1" fontId="5" fillId="0" borderId="35" xfId="0" applyNumberFormat="1" applyFont="1" applyBorder="1" applyAlignment="1" applyProtection="1">
      <alignment horizontal="left" vertical="center"/>
      <protection locked="0"/>
    </xf>
    <xf numFmtId="1" fontId="5" fillId="0" borderId="35" xfId="0" applyNumberFormat="1" applyFont="1" applyBorder="1" applyProtection="1">
      <protection locked="0"/>
    </xf>
    <xf numFmtId="0" fontId="5" fillId="0" borderId="36" xfId="0" applyFont="1" applyBorder="1" applyProtection="1">
      <protection locked="0"/>
    </xf>
    <xf numFmtId="0" fontId="5" fillId="0" borderId="45" xfId="0" applyFont="1" applyBorder="1" applyProtection="1">
      <protection locked="0"/>
    </xf>
    <xf numFmtId="1" fontId="9" fillId="0" borderId="0" xfId="0" applyNumberFormat="1" applyFont="1" applyAlignment="1" applyProtection="1">
      <alignment horizontal="centerContinuous" vertical="center"/>
      <protection locked="0"/>
    </xf>
    <xf numFmtId="0" fontId="5" fillId="0" borderId="38" xfId="0" applyFont="1" applyBorder="1" applyProtection="1">
      <protection locked="0"/>
    </xf>
    <xf numFmtId="0" fontId="5" fillId="0" borderId="42" xfId="0" applyFont="1" applyBorder="1" applyProtection="1">
      <protection locked="0"/>
    </xf>
    <xf numFmtId="1" fontId="5" fillId="0" borderId="46" xfId="0" applyNumberFormat="1" applyFont="1" applyBorder="1" applyAlignment="1" applyProtection="1">
      <alignment horizontal="left" vertical="center" wrapText="1"/>
      <protection locked="0"/>
    </xf>
    <xf numFmtId="3" fontId="5" fillId="0" borderId="47" xfId="0" applyNumberFormat="1" applyFont="1" applyBorder="1" applyAlignment="1" applyProtection="1">
      <alignment horizontal="center" vertical="center"/>
      <protection locked="0"/>
    </xf>
    <xf numFmtId="1" fontId="5" fillId="0" borderId="43" xfId="0" applyNumberFormat="1" applyFont="1" applyBorder="1" applyProtection="1">
      <protection locked="0"/>
    </xf>
    <xf numFmtId="0" fontId="5" fillId="0" borderId="44" xfId="0" applyFont="1" applyBorder="1" applyProtection="1">
      <protection locked="0"/>
    </xf>
    <xf numFmtId="0" fontId="7" fillId="0" borderId="48" xfId="0" applyFont="1" applyBorder="1" applyProtection="1">
      <protection locked="0"/>
    </xf>
    <xf numFmtId="0" fontId="5" fillId="0" borderId="49" xfId="0" applyFont="1" applyBorder="1" applyProtection="1">
      <protection locked="0"/>
    </xf>
    <xf numFmtId="1" fontId="5" fillId="0" borderId="49" xfId="0" applyNumberFormat="1" applyFont="1" applyBorder="1" applyAlignment="1" applyProtection="1">
      <alignment horizontal="left" vertical="center"/>
      <protection locked="0"/>
    </xf>
    <xf numFmtId="1" fontId="5" fillId="0" borderId="50" xfId="0" applyNumberFormat="1" applyFont="1" applyBorder="1" applyProtection="1">
      <protection locked="0"/>
    </xf>
    <xf numFmtId="1" fontId="9" fillId="0" borderId="51" xfId="0" applyNumberFormat="1" applyFont="1" applyBorder="1" applyAlignment="1" applyProtection="1">
      <alignment horizontal="centerContinuous" vertical="center"/>
      <protection locked="0"/>
    </xf>
    <xf numFmtId="1" fontId="5" fillId="0" borderId="53" xfId="0" applyNumberFormat="1" applyFont="1" applyBorder="1" applyProtection="1">
      <protection locked="0"/>
    </xf>
    <xf numFmtId="1" fontId="5" fillId="0" borderId="53" xfId="0" applyNumberFormat="1" applyFont="1" applyBorder="1" applyAlignment="1" applyProtection="1">
      <alignment horizontal="left" vertical="center"/>
      <protection locked="0"/>
    </xf>
    <xf numFmtId="1" fontId="5" fillId="0" borderId="54" xfId="0" applyNumberFormat="1" applyFont="1" applyBorder="1" applyAlignment="1" applyProtection="1">
      <alignment horizontal="left" vertical="center"/>
      <protection locked="0"/>
    </xf>
    <xf numFmtId="1" fontId="5" fillId="0" borderId="55" xfId="0" applyNumberFormat="1" applyFont="1" applyBorder="1" applyAlignment="1" applyProtection="1">
      <alignment horizontal="left" vertical="center"/>
      <protection locked="0"/>
    </xf>
    <xf numFmtId="1" fontId="5" fillId="0" borderId="52" xfId="0" applyNumberFormat="1" applyFont="1" applyBorder="1" applyProtection="1">
      <protection locked="0"/>
    </xf>
    <xf numFmtId="1" fontId="5" fillId="0" borderId="56" xfId="0" applyNumberFormat="1" applyFont="1" applyBorder="1" applyAlignment="1" applyProtection="1">
      <alignment horizontal="left" vertical="center" wrapText="1"/>
      <protection locked="0"/>
    </xf>
    <xf numFmtId="3" fontId="5" fillId="0" borderId="57" xfId="0" applyNumberFormat="1" applyFont="1" applyBorder="1" applyAlignment="1" applyProtection="1">
      <alignment horizontal="center" vertical="center"/>
      <protection locked="0"/>
    </xf>
    <xf numFmtId="0" fontId="5" fillId="0" borderId="58" xfId="0" applyFont="1" applyBorder="1" applyProtection="1">
      <protection locked="0"/>
    </xf>
    <xf numFmtId="1" fontId="5" fillId="0" borderId="58" xfId="0" applyNumberFormat="1" applyFont="1" applyBorder="1" applyAlignment="1" applyProtection="1">
      <alignment horizontal="left" vertical="center"/>
      <protection locked="0"/>
    </xf>
    <xf numFmtId="1" fontId="5" fillId="0" borderId="59" xfId="0" applyNumberFormat="1" applyFont="1" applyBorder="1" applyProtection="1">
      <protection locked="0"/>
    </xf>
    <xf numFmtId="1" fontId="9" fillId="0" borderId="51" xfId="0" applyNumberFormat="1" applyFont="1" applyBorder="1" applyAlignment="1" applyProtection="1">
      <alignment horizontal="centerContinuous" vertical="center" wrapText="1"/>
      <protection locked="0"/>
    </xf>
    <xf numFmtId="1" fontId="5" fillId="0" borderId="53" xfId="0" applyNumberFormat="1" applyFont="1" applyBorder="1" applyAlignment="1" applyProtection="1">
      <alignment wrapText="1"/>
      <protection locked="0"/>
    </xf>
    <xf numFmtId="1" fontId="5" fillId="0" borderId="53" xfId="0" applyNumberFormat="1" applyFont="1" applyBorder="1" applyAlignment="1" applyProtection="1">
      <alignment horizontal="left" vertical="center" wrapText="1"/>
      <protection locked="0"/>
    </xf>
    <xf numFmtId="1" fontId="5" fillId="0" borderId="54" xfId="0" applyNumberFormat="1" applyFont="1" applyBorder="1" applyAlignment="1" applyProtection="1">
      <alignment horizontal="left" vertical="center" wrapText="1"/>
      <protection locked="0"/>
    </xf>
    <xf numFmtId="1" fontId="5" fillId="0" borderId="60" xfId="0" applyNumberFormat="1" applyFont="1" applyBorder="1" applyAlignment="1" applyProtection="1">
      <alignment horizontal="left" vertical="center" wrapText="1"/>
      <protection locked="0"/>
    </xf>
    <xf numFmtId="9" fontId="5" fillId="0" borderId="58" xfId="2" applyFont="1" applyBorder="1" applyProtection="1">
      <protection locked="0"/>
    </xf>
    <xf numFmtId="0" fontId="28" fillId="8" borderId="1" xfId="5" applyFont="1" applyFill="1" applyBorder="1" applyAlignment="1">
      <alignment horizontal="center" vertical="center" wrapText="1"/>
    </xf>
    <xf numFmtId="0" fontId="5" fillId="0" borderId="0" xfId="0" applyFont="1" applyAlignment="1" applyProtection="1">
      <alignment horizontal="left" vertical="top"/>
      <protection locked="0"/>
    </xf>
    <xf numFmtId="0" fontId="13" fillId="5" borderId="12" xfId="1" applyFont="1" applyFill="1" applyBorder="1" applyAlignment="1" applyProtection="1">
      <alignment horizontal="center"/>
      <protection locked="0"/>
    </xf>
    <xf numFmtId="0" fontId="13" fillId="5" borderId="3" xfId="1" applyFont="1" applyFill="1" applyBorder="1" applyAlignment="1" applyProtection="1">
      <alignment horizontal="center"/>
      <protection locked="0"/>
    </xf>
    <xf numFmtId="0" fontId="13" fillId="5" borderId="3" xfId="1" applyFont="1" applyFill="1" applyBorder="1" applyAlignment="1" applyProtection="1">
      <alignment horizontal="center" wrapText="1"/>
      <protection locked="0"/>
    </xf>
    <xf numFmtId="6" fontId="31" fillId="0" borderId="25" xfId="1" applyNumberFormat="1" applyFont="1" applyBorder="1" applyAlignment="1" applyProtection="1">
      <alignment wrapText="1"/>
      <protection locked="0"/>
    </xf>
    <xf numFmtId="6" fontId="31" fillId="0" borderId="21" xfId="1" applyNumberFormat="1" applyFont="1" applyBorder="1" applyAlignment="1" applyProtection="1">
      <alignment wrapText="1"/>
      <protection locked="0"/>
    </xf>
    <xf numFmtId="0" fontId="13" fillId="5" borderId="1" xfId="1" applyFont="1" applyFill="1" applyBorder="1" applyAlignment="1" applyProtection="1">
      <alignment horizontal="center"/>
      <protection locked="0"/>
    </xf>
    <xf numFmtId="6" fontId="12" fillId="0" borderId="61" xfId="1" applyNumberFormat="1" applyFont="1" applyBorder="1" applyProtection="1">
      <protection locked="0"/>
    </xf>
    <xf numFmtId="6" fontId="12" fillId="3" borderId="62" xfId="1" applyNumberFormat="1" applyFont="1" applyFill="1" applyBorder="1" applyProtection="1">
      <protection locked="0"/>
    </xf>
    <xf numFmtId="6" fontId="12" fillId="0" borderId="63" xfId="1" applyNumberFormat="1" applyFont="1" applyBorder="1" applyProtection="1">
      <protection locked="0"/>
    </xf>
    <xf numFmtId="6" fontId="12" fillId="0" borderId="64" xfId="1" applyNumberFormat="1" applyFont="1" applyBorder="1" applyProtection="1">
      <protection locked="0"/>
    </xf>
    <xf numFmtId="166" fontId="5" fillId="0" borderId="0" xfId="0" applyNumberFormat="1" applyFont="1" applyAlignment="1" applyProtection="1">
      <alignment horizontal="left" vertical="center" indent="1"/>
      <protection locked="0"/>
    </xf>
    <xf numFmtId="166" fontId="9" fillId="0" borderId="0" xfId="0" applyNumberFormat="1" applyFont="1" applyAlignment="1" applyProtection="1">
      <alignment horizontal="left" vertical="center" indent="1"/>
      <protection locked="0"/>
    </xf>
    <xf numFmtId="0" fontId="5" fillId="0" borderId="0" xfId="0" applyFont="1" applyAlignment="1" applyProtection="1">
      <alignment horizontal="left" vertical="top" wrapText="1"/>
      <protection locked="0"/>
    </xf>
    <xf numFmtId="0" fontId="7" fillId="0" borderId="0" xfId="0" applyFont="1" applyAlignment="1" applyProtection="1">
      <alignment horizontal="left" wrapText="1"/>
      <protection locked="0"/>
    </xf>
    <xf numFmtId="6" fontId="12" fillId="9" borderId="21" xfId="1" applyNumberFormat="1" applyFont="1" applyFill="1" applyBorder="1" applyProtection="1">
      <protection locked="0"/>
    </xf>
    <xf numFmtId="6" fontId="12" fillId="9" borderId="23" xfId="1" applyNumberFormat="1" applyFont="1" applyFill="1" applyBorder="1" applyProtection="1">
      <protection locked="0"/>
    </xf>
    <xf numFmtId="8" fontId="12" fillId="0" borderId="21" xfId="1" applyNumberFormat="1" applyFont="1" applyBorder="1" applyProtection="1">
      <protection locked="0"/>
    </xf>
    <xf numFmtId="38" fontId="12" fillId="0" borderId="21" xfId="1" applyNumberFormat="1" applyFont="1" applyBorder="1" applyProtection="1">
      <protection locked="0"/>
    </xf>
    <xf numFmtId="6" fontId="12" fillId="9" borderId="25" xfId="1" applyNumberFormat="1" applyFont="1" applyFill="1" applyBorder="1" applyProtection="1">
      <protection locked="0"/>
    </xf>
    <xf numFmtId="6" fontId="12" fillId="9" borderId="64" xfId="1" applyNumberFormat="1" applyFont="1" applyFill="1" applyBorder="1" applyProtection="1">
      <protection locked="0"/>
    </xf>
    <xf numFmtId="6" fontId="31" fillId="0" borderId="64" xfId="1" applyNumberFormat="1" applyFont="1" applyBorder="1" applyAlignment="1" applyProtection="1">
      <alignment wrapText="1"/>
      <protection locked="0"/>
    </xf>
    <xf numFmtId="0" fontId="13" fillId="0" borderId="1" xfId="1" applyFont="1" applyBorder="1" applyAlignment="1" applyProtection="1">
      <alignment horizontal="left" wrapText="1"/>
      <protection locked="0"/>
    </xf>
    <xf numFmtId="6" fontId="12" fillId="9" borderId="1" xfId="1" applyNumberFormat="1" applyFont="1" applyFill="1" applyBorder="1" applyProtection="1">
      <protection locked="0"/>
    </xf>
    <xf numFmtId="0" fontId="31" fillId="0" borderId="1" xfId="1" applyFont="1" applyBorder="1" applyAlignment="1" applyProtection="1">
      <alignment wrapText="1"/>
      <protection locked="0"/>
    </xf>
    <xf numFmtId="0" fontId="5" fillId="0" borderId="0" xfId="0" applyFont="1" applyAlignment="1">
      <alignment horizontal="center" vertical="center"/>
    </xf>
    <xf numFmtId="0" fontId="13" fillId="0" borderId="27" xfId="1" applyFont="1" applyBorder="1" applyAlignment="1" applyProtection="1">
      <alignment horizontal="right" wrapText="1"/>
      <protection locked="0"/>
    </xf>
    <xf numFmtId="0" fontId="12" fillId="0" borderId="20" xfId="1" applyFont="1" applyBorder="1" applyAlignment="1" applyProtection="1">
      <alignment horizontal="left" vertical="top" wrapText="1" indent="2"/>
      <protection locked="0"/>
    </xf>
    <xf numFmtId="1" fontId="15" fillId="0" borderId="0" xfId="0" applyNumberFormat="1" applyFont="1" applyAlignment="1" applyProtection="1">
      <alignment vertical="center" wrapText="1"/>
      <protection locked="0"/>
    </xf>
    <xf numFmtId="0" fontId="12" fillId="7" borderId="0" xfId="0" applyFont="1" applyFill="1" applyAlignment="1">
      <alignment horizontal="center"/>
    </xf>
    <xf numFmtId="4" fontId="5" fillId="3" borderId="13" xfId="0" applyNumberFormat="1" applyFont="1" applyFill="1" applyBorder="1" applyAlignment="1" applyProtection="1">
      <alignment horizontal="center" vertical="center"/>
      <protection locked="0"/>
    </xf>
    <xf numFmtId="9" fontId="5" fillId="7" borderId="1" xfId="2" applyFont="1" applyFill="1" applyBorder="1" applyAlignment="1">
      <alignment horizontal="center" vertical="center"/>
    </xf>
    <xf numFmtId="0" fontId="5" fillId="7" borderId="1" xfId="0" applyFont="1" applyFill="1" applyBorder="1" applyAlignment="1">
      <alignment horizontal="center" vertical="center"/>
    </xf>
    <xf numFmtId="174" fontId="5" fillId="7" borderId="1" xfId="2" applyNumberFormat="1" applyFont="1" applyFill="1" applyBorder="1" applyAlignment="1">
      <alignment horizontal="center" vertical="center"/>
    </xf>
    <xf numFmtId="0" fontId="5" fillId="2" borderId="0" xfId="0" applyFont="1" applyFill="1" applyAlignment="1">
      <alignment horizontal="right" vertical="center"/>
    </xf>
    <xf numFmtId="0" fontId="5" fillId="0" borderId="0" xfId="0" applyFont="1" applyAlignment="1">
      <alignment horizontal="right" vertical="center"/>
    </xf>
    <xf numFmtId="1" fontId="5" fillId="0" borderId="0" xfId="0" applyNumberFormat="1" applyFont="1" applyAlignment="1">
      <alignment horizontal="right" vertical="center"/>
    </xf>
    <xf numFmtId="0" fontId="7" fillId="0" borderId="0" xfId="0" applyFont="1" applyAlignment="1">
      <alignment horizontal="right" vertical="center" wrapText="1"/>
    </xf>
    <xf numFmtId="0" fontId="6" fillId="0" borderId="0" xfId="0" applyFont="1"/>
    <xf numFmtId="0" fontId="5" fillId="0" borderId="1" xfId="0" applyFont="1" applyBorder="1" applyAlignment="1">
      <alignment vertical="center" wrapText="1"/>
    </xf>
    <xf numFmtId="0" fontId="11" fillId="0" borderId="0" xfId="0" applyFont="1" applyProtection="1">
      <protection locked="0"/>
    </xf>
    <xf numFmtId="0" fontId="0" fillId="6" borderId="0" xfId="0" applyFill="1"/>
    <xf numFmtId="0" fontId="30" fillId="6" borderId="0" xfId="0" applyFont="1" applyFill="1" applyAlignment="1">
      <alignment wrapText="1"/>
    </xf>
    <xf numFmtId="44" fontId="13" fillId="6" borderId="0" xfId="4" applyFont="1" applyFill="1" applyBorder="1" applyAlignment="1" applyProtection="1">
      <alignment horizontal="left"/>
      <protection locked="0"/>
    </xf>
    <xf numFmtId="0" fontId="34" fillId="0" borderId="0" xfId="0" applyFont="1" applyAlignment="1">
      <alignment vertical="top"/>
    </xf>
    <xf numFmtId="0" fontId="5" fillId="0" borderId="0" xfId="0" applyFont="1" applyAlignment="1">
      <alignment vertical="top"/>
    </xf>
    <xf numFmtId="0" fontId="34" fillId="0" borderId="0" xfId="0" applyFont="1"/>
    <xf numFmtId="0" fontId="5" fillId="6" borderId="0" xfId="0" applyFont="1" applyFill="1"/>
    <xf numFmtId="0" fontId="5" fillId="4" borderId="0" xfId="0" applyFont="1" applyFill="1"/>
    <xf numFmtId="0" fontId="5" fillId="0" borderId="0" xfId="0" applyFont="1" applyAlignment="1">
      <alignment horizontal="left" wrapText="1"/>
    </xf>
    <xf numFmtId="44" fontId="13" fillId="6" borderId="0" xfId="4" applyFont="1" applyFill="1" applyBorder="1" applyAlignment="1" applyProtection="1">
      <alignment horizontal="left" wrapText="1"/>
      <protection locked="0"/>
    </xf>
    <xf numFmtId="44" fontId="29" fillId="6" borderId="0" xfId="4" applyFont="1" applyFill="1" applyBorder="1" applyAlignment="1" applyProtection="1">
      <alignment horizontal="left" wrapText="1"/>
      <protection locked="0"/>
    </xf>
    <xf numFmtId="0" fontId="0" fillId="6" borderId="0" xfId="0" applyFill="1" applyAlignment="1">
      <alignment wrapText="1"/>
    </xf>
    <xf numFmtId="6" fontId="12" fillId="3" borderId="62" xfId="1" applyNumberFormat="1" applyFont="1" applyFill="1" applyBorder="1" applyAlignment="1" applyProtection="1">
      <alignment wrapText="1"/>
      <protection locked="0"/>
    </xf>
    <xf numFmtId="0" fontId="5" fillId="2" borderId="0" xfId="0" applyFont="1" applyFill="1" applyAlignment="1" applyProtection="1">
      <alignment horizontal="left" vertical="center"/>
      <protection locked="0"/>
    </xf>
    <xf numFmtId="0" fontId="13" fillId="6" borderId="0" xfId="1" applyFont="1" applyFill="1" applyAlignment="1" applyProtection="1">
      <alignment horizontal="left" vertical="center" wrapText="1"/>
      <protection locked="0"/>
    </xf>
    <xf numFmtId="0" fontId="0" fillId="6" borderId="0" xfId="0" applyFill="1" applyAlignment="1">
      <alignment vertical="center" wrapText="1"/>
    </xf>
    <xf numFmtId="0" fontId="30" fillId="6" borderId="0" xfId="0" applyFont="1" applyFill="1" applyAlignment="1">
      <alignment horizontal="left" wrapText="1"/>
    </xf>
    <xf numFmtId="0" fontId="25" fillId="6" borderId="0" xfId="5" applyFill="1" applyAlignment="1">
      <alignment horizontal="left" vertical="top"/>
    </xf>
    <xf numFmtId="0" fontId="26" fillId="6" borderId="0" xfId="5" applyFont="1" applyFill="1" applyAlignment="1">
      <alignment horizontal="left" vertical="top"/>
    </xf>
    <xf numFmtId="44" fontId="26" fillId="6" borderId="0" xfId="4" applyFont="1" applyFill="1" applyBorder="1" applyAlignment="1">
      <alignment horizontal="left"/>
    </xf>
    <xf numFmtId="6" fontId="12" fillId="0" borderId="62" xfId="1" applyNumberFormat="1" applyFont="1" applyBorder="1" applyAlignment="1" applyProtection="1">
      <alignment wrapText="1"/>
      <protection locked="0"/>
    </xf>
    <xf numFmtId="6" fontId="12" fillId="0" borderId="66" xfId="1" applyNumberFormat="1" applyFont="1" applyBorder="1" applyAlignment="1" applyProtection="1">
      <alignment wrapText="1"/>
      <protection locked="0"/>
    </xf>
    <xf numFmtId="6" fontId="12" fillId="3" borderId="66" xfId="1" applyNumberFormat="1" applyFont="1" applyFill="1" applyBorder="1" applyAlignment="1" applyProtection="1">
      <alignment wrapText="1"/>
      <protection locked="0"/>
    </xf>
    <xf numFmtId="6" fontId="12" fillId="3" borderId="67" xfId="1" applyNumberFormat="1" applyFont="1" applyFill="1" applyBorder="1" applyProtection="1">
      <protection locked="0"/>
    </xf>
    <xf numFmtId="6" fontId="12" fillId="9" borderId="67" xfId="1" applyNumberFormat="1" applyFont="1" applyFill="1" applyBorder="1" applyProtection="1">
      <protection locked="0"/>
    </xf>
    <xf numFmtId="0" fontId="37" fillId="6" borderId="0" xfId="5" applyFont="1" applyFill="1" applyAlignment="1">
      <alignment horizontal="left" vertical="top"/>
    </xf>
    <xf numFmtId="38" fontId="12" fillId="0" borderId="62" xfId="1" applyNumberFormat="1" applyFont="1" applyBorder="1" applyProtection="1">
      <protection locked="0"/>
    </xf>
    <xf numFmtId="38" fontId="12" fillId="3" borderId="62" xfId="1" applyNumberFormat="1" applyFont="1" applyFill="1" applyBorder="1" applyProtection="1">
      <protection locked="0"/>
    </xf>
    <xf numFmtId="6" fontId="12" fillId="9" borderId="62" xfId="1" applyNumberFormat="1" applyFont="1" applyFill="1" applyBorder="1" applyProtection="1">
      <protection locked="0"/>
    </xf>
    <xf numFmtId="38" fontId="12" fillId="0" borderId="66" xfId="1" applyNumberFormat="1" applyFont="1" applyBorder="1" applyProtection="1">
      <protection locked="0"/>
    </xf>
    <xf numFmtId="6" fontId="12" fillId="9" borderId="66" xfId="1" applyNumberFormat="1" applyFont="1" applyFill="1" applyBorder="1" applyProtection="1">
      <protection locked="0"/>
    </xf>
    <xf numFmtId="38" fontId="12" fillId="3" borderId="66" xfId="1" applyNumberFormat="1" applyFont="1" applyFill="1" applyBorder="1" applyProtection="1">
      <protection locked="0"/>
    </xf>
    <xf numFmtId="0" fontId="7" fillId="6" borderId="0" xfId="0" applyFont="1" applyFill="1" applyAlignment="1" applyProtection="1">
      <alignment vertical="center"/>
      <protection locked="0"/>
    </xf>
    <xf numFmtId="0" fontId="7" fillId="6" borderId="0" xfId="0" applyFont="1" applyFill="1" applyAlignment="1" applyProtection="1">
      <alignment vertical="center" wrapText="1"/>
      <protection locked="0"/>
    </xf>
    <xf numFmtId="0" fontId="7" fillId="6" borderId="0" xfId="0" applyFont="1" applyFill="1" applyAlignment="1" applyProtection="1">
      <alignment horizontal="left" wrapText="1"/>
      <protection locked="0"/>
    </xf>
    <xf numFmtId="0" fontId="5" fillId="6" borderId="0" xfId="0" applyFont="1" applyFill="1" applyProtection="1">
      <protection locked="0"/>
    </xf>
    <xf numFmtId="0" fontId="27" fillId="6" borderId="0" xfId="5" applyFont="1" applyFill="1" applyAlignment="1">
      <alignment horizontal="left" vertical="top"/>
    </xf>
    <xf numFmtId="0" fontId="36" fillId="6" borderId="0" xfId="5" applyFont="1" applyFill="1" applyAlignment="1">
      <alignment horizontal="right" vertical="top"/>
    </xf>
    <xf numFmtId="0" fontId="7" fillId="6" borderId="0" xfId="0" applyFont="1" applyFill="1" applyAlignment="1">
      <alignment vertical="center" wrapText="1"/>
    </xf>
    <xf numFmtId="0" fontId="7" fillId="6" borderId="0" xfId="0" applyFont="1" applyFill="1" applyAlignment="1">
      <alignment horizontal="left" wrapText="1"/>
    </xf>
    <xf numFmtId="44" fontId="25" fillId="6" borderId="0" xfId="4" applyFont="1" applyFill="1" applyBorder="1" applyAlignment="1">
      <alignment horizontal="left"/>
    </xf>
    <xf numFmtId="0" fontId="25" fillId="6" borderId="0" xfId="5" applyFill="1" applyAlignment="1">
      <alignment horizontal="left" vertical="center" wrapText="1"/>
    </xf>
    <xf numFmtId="0" fontId="25" fillId="6" borderId="0" xfId="5" applyFill="1" applyAlignment="1">
      <alignment horizontal="left" vertical="top" wrapText="1"/>
    </xf>
    <xf numFmtId="9" fontId="0" fillId="0" borderId="0" xfId="2" applyFont="1" applyBorder="1" applyAlignment="1">
      <alignment wrapText="1"/>
    </xf>
    <xf numFmtId="9" fontId="0" fillId="0" borderId="0" xfId="2" applyFont="1" applyBorder="1"/>
    <xf numFmtId="0" fontId="7" fillId="2" borderId="0" xfId="0" applyFont="1" applyFill="1" applyAlignment="1" applyProtection="1">
      <alignment horizontal="left"/>
      <protection locked="0"/>
    </xf>
    <xf numFmtId="0" fontId="33" fillId="6" borderId="0" xfId="0" applyFont="1" applyFill="1" applyAlignment="1">
      <alignment horizontal="left"/>
    </xf>
    <xf numFmtId="10" fontId="5" fillId="7" borderId="1" xfId="2" applyNumberFormat="1" applyFont="1" applyFill="1" applyBorder="1" applyAlignment="1">
      <alignment horizontal="center" vertical="center"/>
    </xf>
    <xf numFmtId="0" fontId="13" fillId="5" borderId="63" xfId="1" applyFont="1" applyFill="1" applyBorder="1" applyAlignment="1" applyProtection="1">
      <alignment horizontal="center" vertical="center" wrapText="1"/>
      <protection locked="0"/>
    </xf>
    <xf numFmtId="0" fontId="13" fillId="0" borderId="62" xfId="1" applyFont="1" applyBorder="1" applyAlignment="1" applyProtection="1">
      <alignment vertical="center" wrapText="1"/>
      <protection locked="0"/>
    </xf>
    <xf numFmtId="0" fontId="13" fillId="0" borderId="62" xfId="1" applyFont="1" applyBorder="1" applyAlignment="1" applyProtection="1">
      <alignment horizontal="left" wrapText="1"/>
      <protection locked="0"/>
    </xf>
    <xf numFmtId="0" fontId="13" fillId="0" borderId="66" xfId="1" applyFont="1" applyBorder="1" applyAlignment="1" applyProtection="1">
      <alignment horizontal="left" wrapText="1"/>
      <protection locked="0"/>
    </xf>
    <xf numFmtId="0" fontId="13" fillId="0" borderId="63" xfId="1" applyFont="1" applyBorder="1" applyAlignment="1" applyProtection="1">
      <alignment vertical="center" wrapText="1"/>
      <protection locked="0"/>
    </xf>
    <xf numFmtId="0" fontId="13" fillId="0" borderId="68" xfId="1" applyFont="1" applyBorder="1" applyAlignment="1" applyProtection="1">
      <alignment vertical="center" wrapText="1"/>
      <protection locked="0"/>
    </xf>
    <xf numFmtId="0" fontId="12" fillId="0" borderId="62" xfId="1" applyFont="1" applyBorder="1" applyAlignment="1" applyProtection="1">
      <alignment horizontal="left" vertical="center" wrapText="1" indent="2"/>
      <protection locked="0"/>
    </xf>
    <xf numFmtId="6" fontId="12" fillId="0" borderId="62" xfId="1" applyNumberFormat="1" applyFont="1" applyBorder="1" applyAlignment="1" applyProtection="1">
      <alignment horizontal="left" wrapText="1"/>
      <protection locked="0"/>
    </xf>
    <xf numFmtId="0" fontId="5" fillId="6" borderId="62" xfId="0" applyFont="1" applyFill="1" applyBorder="1" applyAlignment="1">
      <alignment horizontal="left" vertical="center" wrapText="1" indent="2"/>
    </xf>
    <xf numFmtId="0" fontId="12" fillId="0" borderId="66" xfId="1" applyFont="1" applyBorder="1" applyAlignment="1" applyProtection="1">
      <alignment horizontal="left" vertical="center" wrapText="1" indent="2"/>
      <protection locked="0"/>
    </xf>
    <xf numFmtId="6" fontId="12" fillId="0" borderId="66" xfId="1" applyNumberFormat="1" applyFont="1" applyBorder="1" applyAlignment="1" applyProtection="1">
      <alignment vertical="center" wrapText="1"/>
      <protection locked="0"/>
    </xf>
    <xf numFmtId="0" fontId="12" fillId="0" borderId="62" xfId="1" applyFont="1" applyBorder="1" applyAlignment="1" applyProtection="1">
      <alignment horizontal="left" vertical="center" wrapText="1"/>
      <protection locked="0"/>
    </xf>
    <xf numFmtId="0" fontId="12" fillId="0" borderId="66" xfId="1" applyFont="1" applyBorder="1" applyAlignment="1" applyProtection="1">
      <alignment horizontal="left" vertical="center" wrapText="1"/>
      <protection locked="0"/>
    </xf>
    <xf numFmtId="6" fontId="12" fillId="0" borderId="66" xfId="1" applyNumberFormat="1" applyFont="1" applyBorder="1" applyAlignment="1" applyProtection="1">
      <alignment horizontal="left" wrapText="1"/>
      <protection locked="0"/>
    </xf>
    <xf numFmtId="6" fontId="12" fillId="0" borderId="62" xfId="1" applyNumberFormat="1" applyFont="1" applyBorder="1" applyAlignment="1" applyProtection="1">
      <alignment horizontal="right" wrapText="1"/>
      <protection locked="0"/>
    </xf>
    <xf numFmtId="6" fontId="12" fillId="0" borderId="68" xfId="1" applyNumberFormat="1" applyFont="1" applyBorder="1" applyAlignment="1" applyProtection="1">
      <alignment horizontal="right" wrapText="1"/>
      <protection locked="0"/>
    </xf>
    <xf numFmtId="6" fontId="13" fillId="9" borderId="62" xfId="1" applyNumberFormat="1" applyFont="1" applyFill="1" applyBorder="1" applyAlignment="1" applyProtection="1">
      <alignment horizontal="right"/>
      <protection locked="0"/>
    </xf>
    <xf numFmtId="6" fontId="13" fillId="9" borderId="68" xfId="1" applyNumberFormat="1" applyFont="1" applyFill="1" applyBorder="1" applyAlignment="1" applyProtection="1">
      <alignment horizontal="right"/>
      <protection locked="0"/>
    </xf>
    <xf numFmtId="6" fontId="12" fillId="0" borderId="67" xfId="1" applyNumberFormat="1" applyFont="1" applyBorder="1" applyProtection="1">
      <protection locked="0"/>
    </xf>
    <xf numFmtId="6" fontId="12" fillId="0" borderId="4" xfId="1" applyNumberFormat="1" applyFont="1" applyBorder="1" applyProtection="1">
      <protection locked="0"/>
    </xf>
    <xf numFmtId="6" fontId="12" fillId="0" borderId="68" xfId="1" applyNumberFormat="1" applyFont="1" applyBorder="1" applyProtection="1">
      <protection locked="0"/>
    </xf>
    <xf numFmtId="6" fontId="12" fillId="3" borderId="68" xfId="1" applyNumberFormat="1" applyFont="1" applyFill="1" applyBorder="1" applyProtection="1">
      <protection locked="0"/>
    </xf>
    <xf numFmtId="0" fontId="12" fillId="0" borderId="8" xfId="1" applyFont="1" applyBorder="1" applyAlignment="1" applyProtection="1">
      <alignment horizontal="center" wrapText="1"/>
      <protection locked="0"/>
    </xf>
    <xf numFmtId="0" fontId="12" fillId="0" borderId="9" xfId="1" applyFont="1" applyBorder="1" applyProtection="1">
      <protection locked="0"/>
    </xf>
    <xf numFmtId="0" fontId="13" fillId="0" borderId="8" xfId="1" applyFont="1" applyBorder="1" applyAlignment="1" applyProtection="1">
      <alignment horizontal="right" wrapText="1"/>
      <protection locked="0"/>
    </xf>
    <xf numFmtId="38" fontId="12" fillId="9" borderId="62" xfId="1" applyNumberFormat="1" applyFont="1" applyFill="1" applyBorder="1" applyProtection="1">
      <protection locked="0"/>
    </xf>
    <xf numFmtId="0" fontId="12" fillId="0" borderId="22" xfId="1" applyFont="1" applyBorder="1" applyAlignment="1" applyProtection="1">
      <alignment horizontal="left" indent="2"/>
      <protection locked="0"/>
    </xf>
    <xf numFmtId="44" fontId="1" fillId="0" borderId="0" xfId="4" applyFont="1" applyFill="1" applyBorder="1" applyAlignment="1">
      <alignment wrapText="1"/>
    </xf>
    <xf numFmtId="44" fontId="1" fillId="9" borderId="0" xfId="4" applyFont="1" applyFill="1" applyBorder="1" applyAlignment="1">
      <alignment wrapText="1"/>
    </xf>
    <xf numFmtId="0" fontId="38" fillId="0" borderId="65" xfId="3" applyFont="1" applyFill="1" applyBorder="1" applyAlignment="1" applyProtection="1">
      <alignment horizontal="center" vertical="center" wrapText="1"/>
      <protection locked="0"/>
    </xf>
    <xf numFmtId="0" fontId="5" fillId="0" borderId="1" xfId="0" applyFont="1" applyBorder="1" applyAlignment="1">
      <alignment wrapText="1"/>
    </xf>
    <xf numFmtId="8" fontId="12" fillId="9" borderId="21" xfId="1" applyNumberFormat="1" applyFont="1" applyFill="1" applyBorder="1" applyProtection="1">
      <protection locked="0"/>
    </xf>
    <xf numFmtId="38" fontId="12" fillId="9" borderId="21" xfId="1" applyNumberFormat="1" applyFont="1" applyFill="1" applyBorder="1" applyProtection="1">
      <protection locked="0"/>
    </xf>
    <xf numFmtId="6" fontId="12" fillId="13" borderId="9" xfId="1" applyNumberFormat="1" applyFont="1" applyFill="1" applyBorder="1" applyProtection="1">
      <protection locked="0"/>
    </xf>
    <xf numFmtId="6" fontId="12" fillId="13" borderId="25" xfId="1" applyNumberFormat="1" applyFont="1" applyFill="1" applyBorder="1" applyProtection="1">
      <protection locked="0"/>
    </xf>
    <xf numFmtId="0" fontId="13" fillId="0" borderId="20" xfId="1" applyFont="1" applyBorder="1" applyAlignment="1" applyProtection="1">
      <alignment vertical="center" wrapText="1"/>
      <protection locked="0"/>
    </xf>
    <xf numFmtId="6" fontId="12" fillId="3" borderId="66" xfId="1" applyNumberFormat="1" applyFont="1" applyFill="1" applyBorder="1" applyProtection="1">
      <protection locked="0"/>
    </xf>
    <xf numFmtId="0" fontId="13" fillId="0" borderId="61" xfId="1" applyFont="1" applyBorder="1" applyAlignment="1" applyProtection="1">
      <alignment horizontal="left" wrapText="1"/>
      <protection locked="0"/>
    </xf>
    <xf numFmtId="0" fontId="12" fillId="0" borderId="61" xfId="1" applyFont="1" applyBorder="1" applyAlignment="1" applyProtection="1">
      <alignment horizontal="left" vertical="center" wrapText="1" indent="2"/>
      <protection locked="0"/>
    </xf>
    <xf numFmtId="6" fontId="12" fillId="0" borderId="61" xfId="1" applyNumberFormat="1" applyFont="1" applyBorder="1" applyAlignment="1" applyProtection="1">
      <alignment wrapText="1"/>
      <protection locked="0"/>
    </xf>
    <xf numFmtId="6" fontId="12" fillId="3" borderId="61" xfId="1" applyNumberFormat="1" applyFont="1" applyFill="1" applyBorder="1" applyProtection="1">
      <protection locked="0"/>
    </xf>
    <xf numFmtId="38" fontId="12" fillId="9" borderId="61" xfId="1" applyNumberFormat="1" applyFont="1" applyFill="1" applyBorder="1" applyProtection="1">
      <protection locked="0"/>
    </xf>
    <xf numFmtId="38" fontId="12" fillId="3" borderId="61" xfId="1" applyNumberFormat="1" applyFont="1" applyFill="1" applyBorder="1" applyProtection="1">
      <protection locked="0"/>
    </xf>
    <xf numFmtId="6" fontId="12" fillId="9" borderId="61" xfId="1" applyNumberFormat="1" applyFont="1" applyFill="1" applyBorder="1" applyProtection="1">
      <protection locked="0"/>
    </xf>
    <xf numFmtId="6" fontId="12" fillId="0" borderId="61" xfId="1" applyNumberFormat="1" applyFont="1" applyBorder="1" applyAlignment="1" applyProtection="1">
      <alignment horizontal="left" wrapText="1"/>
      <protection locked="0"/>
    </xf>
    <xf numFmtId="0" fontId="13" fillId="0" borderId="0" xfId="1" applyFont="1" applyAlignment="1" applyProtection="1">
      <alignment horizontal="left" wrapText="1"/>
      <protection locked="0"/>
    </xf>
    <xf numFmtId="0" fontId="35" fillId="0" borderId="0" xfId="1" applyFont="1" applyAlignment="1" applyProtection="1">
      <alignment vertical="center" wrapText="1"/>
      <protection locked="0"/>
    </xf>
    <xf numFmtId="0" fontId="13" fillId="0" borderId="15" xfId="1" applyFont="1" applyBorder="1" applyAlignment="1" applyProtection="1">
      <alignment horizontal="left" wrapText="1"/>
      <protection locked="0"/>
    </xf>
    <xf numFmtId="0" fontId="5" fillId="6" borderId="15" xfId="0" applyFont="1" applyFill="1" applyBorder="1" applyAlignment="1">
      <alignment horizontal="left" vertical="center" wrapText="1" indent="2"/>
    </xf>
    <xf numFmtId="6" fontId="12" fillId="0" borderId="15" xfId="1" applyNumberFormat="1" applyFont="1" applyBorder="1" applyAlignment="1" applyProtection="1">
      <alignment wrapText="1"/>
      <protection locked="0"/>
    </xf>
    <xf numFmtId="6" fontId="12" fillId="3" borderId="15" xfId="1" applyNumberFormat="1" applyFont="1" applyFill="1" applyBorder="1" applyProtection="1">
      <protection locked="0"/>
    </xf>
    <xf numFmtId="38" fontId="12" fillId="9" borderId="15" xfId="1" applyNumberFormat="1" applyFont="1" applyFill="1" applyBorder="1" applyProtection="1">
      <protection locked="0"/>
    </xf>
    <xf numFmtId="38" fontId="12" fillId="3" borderId="15" xfId="1" applyNumberFormat="1" applyFont="1" applyFill="1" applyBorder="1" applyProtection="1">
      <protection locked="0"/>
    </xf>
    <xf numFmtId="6" fontId="12" fillId="9" borderId="15" xfId="1" applyNumberFormat="1" applyFont="1" applyFill="1" applyBorder="1" applyProtection="1">
      <protection locked="0"/>
    </xf>
    <xf numFmtId="6" fontId="12" fillId="0" borderId="15" xfId="1" applyNumberFormat="1" applyFont="1" applyBorder="1" applyAlignment="1" applyProtection="1">
      <alignment horizontal="left" wrapText="1"/>
      <protection locked="0"/>
    </xf>
    <xf numFmtId="0" fontId="13" fillId="0" borderId="21" xfId="1" applyFont="1" applyBorder="1" applyAlignment="1" applyProtection="1">
      <alignment vertical="center" wrapText="1"/>
      <protection locked="0"/>
    </xf>
    <xf numFmtId="0" fontId="12" fillId="0" borderId="61" xfId="1" applyFont="1" applyBorder="1" applyAlignment="1" applyProtection="1">
      <alignment horizontal="left" vertical="center" wrapText="1"/>
      <protection locked="0"/>
    </xf>
    <xf numFmtId="6" fontId="12" fillId="3" borderId="61" xfId="1" applyNumberFormat="1" applyFont="1" applyFill="1" applyBorder="1" applyAlignment="1" applyProtection="1">
      <alignment wrapText="1"/>
      <protection locked="0"/>
    </xf>
    <xf numFmtId="0" fontId="13" fillId="0" borderId="0" xfId="1" applyFont="1" applyAlignment="1" applyProtection="1">
      <alignment vertical="center" wrapText="1"/>
      <protection locked="0"/>
    </xf>
    <xf numFmtId="0" fontId="13" fillId="0" borderId="0" xfId="1" applyFont="1" applyAlignment="1" applyProtection="1">
      <alignment wrapText="1"/>
      <protection locked="0"/>
    </xf>
    <xf numFmtId="0" fontId="13" fillId="0" borderId="20" xfId="1" applyFont="1" applyBorder="1" applyAlignment="1" applyProtection="1">
      <alignment horizontal="left" vertical="center" wrapText="1"/>
      <protection locked="0"/>
    </xf>
    <xf numFmtId="38" fontId="12" fillId="0" borderId="61" xfId="1" applyNumberFormat="1" applyFont="1" applyBorder="1" applyProtection="1">
      <protection locked="0"/>
    </xf>
    <xf numFmtId="0" fontId="35" fillId="0" borderId="0" xfId="1" applyFont="1" applyAlignment="1" applyProtection="1">
      <alignment horizontal="left" vertical="center" wrapText="1"/>
      <protection locked="0"/>
    </xf>
    <xf numFmtId="0" fontId="13" fillId="5" borderId="2" xfId="1" applyFont="1" applyFill="1" applyBorder="1" applyAlignment="1" applyProtection="1">
      <alignment horizontal="left" vertical="center" wrapText="1"/>
      <protection locked="0"/>
    </xf>
    <xf numFmtId="0" fontId="13" fillId="5" borderId="2" xfId="1" applyFont="1" applyFill="1" applyBorder="1" applyAlignment="1" applyProtection="1">
      <alignment horizontal="center" vertical="center" wrapText="1"/>
      <protection locked="0"/>
    </xf>
    <xf numFmtId="0" fontId="13" fillId="5" borderId="2" xfId="1" applyFont="1" applyFill="1" applyBorder="1" applyAlignment="1" applyProtection="1">
      <alignment horizontal="center" vertical="center"/>
      <protection locked="0"/>
    </xf>
    <xf numFmtId="0" fontId="7" fillId="11" borderId="2" xfId="0" applyFont="1" applyFill="1" applyBorder="1" applyAlignment="1">
      <alignment horizontal="center" vertical="center" wrapText="1"/>
    </xf>
    <xf numFmtId="0" fontId="13" fillId="5" borderId="2" xfId="1" applyFont="1" applyFill="1" applyBorder="1" applyAlignment="1" applyProtection="1">
      <alignment horizontal="left" wrapText="1"/>
      <protection locked="0"/>
    </xf>
    <xf numFmtId="0" fontId="13" fillId="0" borderId="0" xfId="1" applyFont="1" applyAlignment="1" applyProtection="1">
      <alignment horizontal="left" vertical="center" wrapText="1"/>
      <protection locked="0"/>
    </xf>
    <xf numFmtId="0" fontId="13" fillId="0" borderId="20" xfId="1" applyFont="1" applyBorder="1" applyAlignment="1" applyProtection="1">
      <alignment horizontal="right" vertical="center" wrapText="1"/>
      <protection locked="0"/>
    </xf>
    <xf numFmtId="0" fontId="13" fillId="0" borderId="61" xfId="1" applyFont="1" applyBorder="1" applyAlignment="1" applyProtection="1">
      <alignment vertical="center" wrapText="1"/>
      <protection locked="0"/>
    </xf>
    <xf numFmtId="0" fontId="13" fillId="0" borderId="0" xfId="1" applyFont="1" applyAlignment="1" applyProtection="1">
      <alignment horizontal="right" vertical="center" wrapText="1"/>
      <protection locked="0"/>
    </xf>
    <xf numFmtId="6" fontId="12" fillId="0" borderId="20" xfId="1" applyNumberFormat="1" applyFont="1" applyBorder="1" applyAlignment="1" applyProtection="1">
      <alignment horizontal="left" wrapText="1"/>
      <protection locked="0"/>
    </xf>
    <xf numFmtId="6" fontId="12" fillId="0" borderId="27" xfId="1" applyNumberFormat="1" applyFont="1" applyBorder="1" applyAlignment="1" applyProtection="1">
      <alignment horizontal="left" wrapText="1"/>
      <protection locked="0"/>
    </xf>
    <xf numFmtId="0" fontId="5" fillId="0" borderId="0" xfId="0" applyFont="1" applyAlignment="1">
      <alignment wrapText="1"/>
    </xf>
    <xf numFmtId="0" fontId="13" fillId="0" borderId="24" xfId="1" applyFont="1" applyBorder="1" applyAlignment="1" applyProtection="1">
      <alignment horizontal="right" vertical="center" wrapText="1"/>
      <protection locked="0"/>
    </xf>
    <xf numFmtId="6" fontId="13" fillId="9" borderId="64" xfId="1" applyNumberFormat="1" applyFont="1" applyFill="1" applyBorder="1" applyProtection="1">
      <protection locked="0"/>
    </xf>
    <xf numFmtId="6" fontId="13" fillId="9" borderId="21" xfId="1" applyNumberFormat="1" applyFont="1" applyFill="1" applyBorder="1" applyProtection="1">
      <protection locked="0"/>
    </xf>
    <xf numFmtId="0" fontId="4" fillId="12" borderId="72" xfId="5" applyFont="1" applyFill="1" applyBorder="1" applyAlignment="1">
      <alignment horizontal="center" vertical="center" wrapText="1"/>
    </xf>
    <xf numFmtId="44" fontId="26" fillId="7" borderId="74" xfId="4" applyFont="1" applyFill="1" applyBorder="1" applyAlignment="1">
      <alignment horizontal="left" vertical="center" wrapText="1"/>
    </xf>
    <xf numFmtId="0" fontId="28" fillId="8" borderId="75" xfId="5" applyFont="1" applyFill="1" applyBorder="1" applyAlignment="1">
      <alignment horizontal="center" vertical="center" wrapText="1"/>
    </xf>
    <xf numFmtId="0" fontId="26" fillId="0" borderId="74" xfId="5" applyFont="1" applyBorder="1" applyAlignment="1">
      <alignment horizontal="left" vertical="center" wrapText="1"/>
    </xf>
    <xf numFmtId="44" fontId="0" fillId="0" borderId="76" xfId="4" applyFont="1" applyBorder="1"/>
    <xf numFmtId="44" fontId="0" fillId="9" borderId="76" xfId="4" applyFont="1" applyFill="1" applyBorder="1"/>
    <xf numFmtId="0" fontId="26" fillId="0" borderId="77" xfId="5" applyFont="1" applyBorder="1" applyAlignment="1">
      <alignment horizontal="left" vertical="center" wrapText="1"/>
    </xf>
    <xf numFmtId="9" fontId="0" fillId="0" borderId="17" xfId="2" applyFont="1" applyBorder="1" applyAlignment="1">
      <alignment wrapText="1"/>
    </xf>
    <xf numFmtId="9" fontId="0" fillId="0" borderId="17" xfId="2" applyFont="1" applyBorder="1"/>
    <xf numFmtId="44" fontId="1" fillId="9" borderId="17" xfId="4" applyFont="1" applyFill="1" applyBorder="1" applyAlignment="1">
      <alignment wrapText="1"/>
    </xf>
    <xf numFmtId="44" fontId="0" fillId="9" borderId="78" xfId="4" applyFont="1" applyFill="1" applyBorder="1"/>
    <xf numFmtId="1" fontId="5" fillId="3" borderId="2" xfId="0" applyNumberFormat="1" applyFont="1" applyFill="1" applyBorder="1" applyAlignment="1" applyProtection="1">
      <alignment horizontal="center" vertical="center"/>
      <protection locked="0"/>
    </xf>
    <xf numFmtId="0" fontId="13" fillId="0" borderId="1" xfId="0" applyFont="1" applyBorder="1"/>
    <xf numFmtId="1" fontId="12" fillId="0" borderId="1" xfId="0" applyNumberFormat="1" applyFont="1" applyBorder="1" applyAlignment="1">
      <alignment horizontal="left" vertical="center"/>
    </xf>
    <xf numFmtId="1" fontId="12" fillId="0" borderId="1" xfId="0" applyNumberFormat="1" applyFont="1" applyBorder="1"/>
    <xf numFmtId="0" fontId="41" fillId="0" borderId="65" xfId="3" applyFont="1" applyFill="1" applyBorder="1" applyAlignment="1" applyProtection="1">
      <alignment horizontal="center" vertical="center" wrapText="1"/>
      <protection locked="0"/>
    </xf>
    <xf numFmtId="173" fontId="5" fillId="7" borderId="1" xfId="4" applyNumberFormat="1" applyFont="1" applyFill="1" applyBorder="1" applyAlignment="1">
      <alignment vertical="center"/>
    </xf>
    <xf numFmtId="0" fontId="13" fillId="0" borderId="35" xfId="0" applyFont="1" applyBorder="1" applyProtection="1">
      <protection locked="0"/>
    </xf>
    <xf numFmtId="0" fontId="32" fillId="6" borderId="0" xfId="1" applyFont="1" applyFill="1" applyAlignment="1" applyProtection="1">
      <alignment horizontal="left"/>
      <protection locked="0"/>
    </xf>
    <xf numFmtId="0" fontId="13" fillId="6" borderId="0" xfId="1" applyFont="1" applyFill="1" applyAlignment="1" applyProtection="1">
      <alignment horizontal="left"/>
      <protection locked="0"/>
    </xf>
    <xf numFmtId="0" fontId="13" fillId="11" borderId="0" xfId="1" applyFont="1" applyFill="1" applyAlignment="1" applyProtection="1">
      <alignment horizontal="left" vertical="center"/>
      <protection locked="0"/>
    </xf>
    <xf numFmtId="0" fontId="32" fillId="11" borderId="0" xfId="1" applyFont="1" applyFill="1" applyAlignment="1" applyProtection="1">
      <alignment horizontal="left" wrapText="1"/>
      <protection locked="0"/>
    </xf>
    <xf numFmtId="0" fontId="33" fillId="4" borderId="65" xfId="6" applyFont="1" applyFill="1" applyBorder="1" applyAlignment="1" applyProtection="1">
      <alignment horizontal="center" vertical="center" wrapText="1"/>
    </xf>
    <xf numFmtId="0" fontId="32" fillId="6" borderId="0" xfId="1" applyFont="1" applyFill="1" applyAlignment="1" applyProtection="1">
      <alignment horizontal="left" wrapText="1"/>
      <protection locked="0"/>
    </xf>
    <xf numFmtId="168" fontId="9" fillId="0" borderId="7" xfId="0" applyNumberFormat="1" applyFont="1" applyBorder="1" applyAlignment="1" applyProtection="1">
      <alignment horizontal="left" vertical="center" wrapText="1"/>
      <protection locked="0"/>
    </xf>
    <xf numFmtId="0" fontId="30" fillId="0" borderId="0" xfId="0" applyFont="1" applyProtection="1">
      <protection locked="0"/>
    </xf>
    <xf numFmtId="1" fontId="30" fillId="0" borderId="0" xfId="0" applyNumberFormat="1" applyFont="1" applyAlignment="1" applyProtection="1">
      <alignment horizontal="left" vertical="center"/>
      <protection locked="0"/>
    </xf>
    <xf numFmtId="1" fontId="30" fillId="0" borderId="0" xfId="0" applyNumberFormat="1" applyFont="1" applyProtection="1">
      <protection locked="0"/>
    </xf>
    <xf numFmtId="0" fontId="45" fillId="0" borderId="0" xfId="0" applyFont="1" applyAlignment="1" applyProtection="1">
      <alignment horizontal="left" vertical="top" wrapText="1"/>
      <protection locked="0"/>
    </xf>
    <xf numFmtId="0" fontId="46" fillId="0" borderId="0" xfId="0" applyFont="1" applyAlignment="1" applyProtection="1">
      <alignment horizontal="center" vertical="center"/>
      <protection locked="0"/>
    </xf>
    <xf numFmtId="0" fontId="30" fillId="0" borderId="12" xfId="0" applyFont="1" applyBorder="1" applyProtection="1">
      <protection locked="0"/>
    </xf>
    <xf numFmtId="167" fontId="30" fillId="3" borderId="13" xfId="0" applyNumberFormat="1" applyFont="1" applyFill="1" applyBorder="1" applyAlignment="1" applyProtection="1">
      <alignment horizontal="center" vertical="center"/>
      <protection locked="0"/>
    </xf>
    <xf numFmtId="164" fontId="30" fillId="3" borderId="3" xfId="0" applyNumberFormat="1" applyFont="1" applyFill="1" applyBorder="1" applyAlignment="1" applyProtection="1">
      <alignment horizontal="center" vertical="center"/>
      <protection locked="0"/>
    </xf>
    <xf numFmtId="3" fontId="30" fillId="3" borderId="13" xfId="0" applyNumberFormat="1" applyFont="1" applyFill="1" applyBorder="1" applyAlignment="1" applyProtection="1">
      <alignment horizontal="center" vertical="center"/>
      <protection locked="0"/>
    </xf>
    <xf numFmtId="0" fontId="30" fillId="0" borderId="12" xfId="0" applyFont="1" applyBorder="1" applyAlignment="1" applyProtection="1">
      <alignment wrapText="1"/>
      <protection locked="0"/>
    </xf>
    <xf numFmtId="0" fontId="30" fillId="0" borderId="5" xfId="0" applyFont="1" applyBorder="1" applyProtection="1">
      <protection locked="0"/>
    </xf>
    <xf numFmtId="167" fontId="30" fillId="3" borderId="14" xfId="0" applyNumberFormat="1" applyFont="1" applyFill="1" applyBorder="1" applyAlignment="1" applyProtection="1">
      <alignment horizontal="center" vertical="center"/>
      <protection locked="0"/>
    </xf>
    <xf numFmtId="164" fontId="30" fillId="3" borderId="6" xfId="0" applyNumberFormat="1" applyFont="1" applyFill="1" applyBorder="1" applyAlignment="1" applyProtection="1">
      <alignment horizontal="center" vertical="center"/>
      <protection locked="0"/>
    </xf>
    <xf numFmtId="3" fontId="30" fillId="6" borderId="13" xfId="0" applyNumberFormat="1" applyFont="1" applyFill="1" applyBorder="1" applyAlignment="1" applyProtection="1">
      <alignment horizontal="center" vertical="center"/>
      <protection locked="0"/>
    </xf>
    <xf numFmtId="0" fontId="47" fillId="0" borderId="0" xfId="0" applyFont="1" applyProtection="1">
      <protection locked="0"/>
    </xf>
    <xf numFmtId="0" fontId="34" fillId="0" borderId="0" xfId="0" applyFont="1" applyAlignment="1">
      <alignment horizontal="left" wrapText="1"/>
    </xf>
    <xf numFmtId="0" fontId="16" fillId="0" borderId="0" xfId="3" applyFont="1" applyAlignment="1">
      <alignment horizontal="left"/>
    </xf>
    <xf numFmtId="0" fontId="5" fillId="0" borderId="32" xfId="0" applyFont="1" applyBorder="1" applyAlignment="1">
      <alignment horizontal="left" vertical="top" wrapText="1"/>
    </xf>
    <xf numFmtId="0" fontId="5" fillId="0" borderId="0" xfId="0" applyFont="1" applyAlignment="1">
      <alignment horizontal="left" wrapText="1"/>
    </xf>
    <xf numFmtId="0" fontId="5" fillId="0" borderId="0" xfId="0" applyFont="1" applyAlignment="1">
      <alignment horizontal="left" vertical="center" wrapText="1"/>
    </xf>
    <xf numFmtId="0" fontId="5" fillId="0" borderId="0" xfId="0" applyFont="1" applyAlignment="1">
      <alignment horizontal="left" vertical="top" wrapText="1"/>
    </xf>
    <xf numFmtId="0" fontId="5" fillId="7" borderId="0" xfId="0" applyFont="1" applyFill="1" applyAlignment="1">
      <alignment horizontal="left" vertical="center"/>
    </xf>
    <xf numFmtId="0" fontId="5" fillId="0" borderId="7" xfId="0" applyFont="1" applyBorder="1" applyAlignment="1">
      <alignment horizontal="left" vertical="center"/>
    </xf>
    <xf numFmtId="0" fontId="5" fillId="0" borderId="0" xfId="0" applyFont="1" applyAlignment="1">
      <alignment horizontal="left" vertical="center"/>
    </xf>
    <xf numFmtId="0" fontId="17" fillId="0" borderId="0" xfId="0" applyFont="1" applyAlignment="1">
      <alignment horizontal="left" vertical="top" wrapText="1"/>
    </xf>
    <xf numFmtId="0" fontId="3" fillId="0" borderId="0" xfId="3" applyAlignment="1">
      <alignment horizontal="center" vertical="top" wrapText="1"/>
    </xf>
    <xf numFmtId="0" fontId="17" fillId="0" borderId="0" xfId="0" applyFont="1" applyAlignment="1">
      <alignment horizontal="center" vertical="top" wrapText="1"/>
    </xf>
    <xf numFmtId="0" fontId="12" fillId="5" borderId="1" xfId="0" applyFont="1" applyFill="1" applyBorder="1" applyAlignment="1">
      <alignment horizontal="left" vertical="top" wrapText="1"/>
    </xf>
    <xf numFmtId="0" fontId="12" fillId="6" borderId="1" xfId="0" applyFont="1" applyFill="1" applyBorder="1" applyAlignment="1">
      <alignment horizontal="left" wrapText="1"/>
    </xf>
    <xf numFmtId="0" fontId="5" fillId="5" borderId="1" xfId="0" applyFont="1" applyFill="1" applyBorder="1" applyAlignment="1">
      <alignment horizontal="left"/>
    </xf>
    <xf numFmtId="0" fontId="12" fillId="5" borderId="1" xfId="0" applyFont="1" applyFill="1" applyBorder="1" applyAlignment="1">
      <alignment horizontal="left"/>
    </xf>
    <xf numFmtId="0" fontId="12" fillId="5" borderId="1" xfId="0" applyFont="1" applyFill="1" applyBorder="1" applyAlignment="1">
      <alignment horizontal="left" wrapText="1"/>
    </xf>
    <xf numFmtId="0" fontId="5" fillId="0" borderId="12" xfId="0" applyFont="1" applyBorder="1" applyAlignment="1">
      <alignment horizontal="left" vertical="top" wrapText="1"/>
    </xf>
    <xf numFmtId="0" fontId="5" fillId="0" borderId="13" xfId="0" applyFont="1" applyBorder="1" applyAlignment="1">
      <alignment horizontal="left" vertical="top" wrapText="1"/>
    </xf>
    <xf numFmtId="0" fontId="5" fillId="0" borderId="3" xfId="0" applyFont="1" applyBorder="1" applyAlignment="1">
      <alignment horizontal="left" vertical="top" wrapText="1"/>
    </xf>
    <xf numFmtId="0" fontId="12" fillId="0" borderId="12" xfId="0" applyFont="1" applyBorder="1" applyAlignment="1">
      <alignment horizontal="left" vertical="top"/>
    </xf>
    <xf numFmtId="0" fontId="12" fillId="0" borderId="13" xfId="0" applyFont="1" applyBorder="1" applyAlignment="1">
      <alignment horizontal="left" vertical="top"/>
    </xf>
    <xf numFmtId="0" fontId="12" fillId="0" borderId="3" xfId="0" applyFont="1" applyBorder="1" applyAlignment="1">
      <alignment horizontal="left" vertical="top"/>
    </xf>
    <xf numFmtId="0" fontId="5" fillId="5" borderId="1" xfId="0" applyFont="1" applyFill="1" applyBorder="1" applyAlignment="1">
      <alignment vertical="top" wrapText="1"/>
    </xf>
    <xf numFmtId="0" fontId="5" fillId="5" borderId="1" xfId="0" applyFont="1" applyFill="1" applyBorder="1" applyAlignment="1">
      <alignment horizontal="left" vertical="top" wrapText="1"/>
    </xf>
    <xf numFmtId="0" fontId="5" fillId="0" borderId="1" xfId="0" applyFont="1" applyBorder="1" applyAlignment="1">
      <alignment horizontal="left"/>
    </xf>
    <xf numFmtId="0" fontId="5" fillId="0" borderId="1" xfId="0" applyFont="1" applyBorder="1" applyAlignment="1">
      <alignment horizontal="left" vertical="top" wrapText="1"/>
    </xf>
    <xf numFmtId="0" fontId="42" fillId="0" borderId="1" xfId="3" applyFont="1" applyBorder="1" applyAlignment="1">
      <alignment horizontal="center"/>
    </xf>
    <xf numFmtId="0" fontId="3" fillId="0" borderId="1" xfId="3" applyBorder="1" applyAlignment="1">
      <alignment horizontal="center"/>
    </xf>
    <xf numFmtId="0" fontId="42" fillId="0" borderId="1" xfId="3" applyFont="1" applyFill="1" applyBorder="1" applyAlignment="1">
      <alignment horizontal="center"/>
    </xf>
    <xf numFmtId="0" fontId="3" fillId="0" borderId="1" xfId="3" applyFill="1" applyBorder="1" applyAlignment="1">
      <alignment horizontal="center"/>
    </xf>
    <xf numFmtId="0" fontId="5" fillId="0" borderId="0" xfId="0" applyFont="1" applyAlignment="1" applyProtection="1">
      <alignment horizontal="left" vertical="top" wrapText="1"/>
      <protection locked="0"/>
    </xf>
    <xf numFmtId="0" fontId="13" fillId="5" borderId="12" xfId="1" applyFont="1" applyFill="1" applyBorder="1" applyAlignment="1" applyProtection="1">
      <alignment horizontal="center"/>
      <protection locked="0"/>
    </xf>
    <xf numFmtId="0" fontId="13" fillId="5" borderId="3" xfId="1" applyFont="1" applyFill="1" applyBorder="1" applyAlignment="1" applyProtection="1">
      <alignment horizontal="center"/>
      <protection locked="0"/>
    </xf>
    <xf numFmtId="166" fontId="9" fillId="0" borderId="7" xfId="0" applyNumberFormat="1" applyFont="1" applyBorder="1" applyAlignment="1" applyProtection="1">
      <alignment vertical="top"/>
      <protection locked="0"/>
    </xf>
    <xf numFmtId="166" fontId="9" fillId="0" borderId="0" xfId="0" applyNumberFormat="1" applyFont="1" applyAlignment="1" applyProtection="1">
      <alignment vertical="top"/>
      <protection locked="0"/>
    </xf>
    <xf numFmtId="166" fontId="5" fillId="0" borderId="0" xfId="0" applyNumberFormat="1" applyFont="1" applyAlignment="1" applyProtection="1">
      <alignment horizontal="left" vertical="center" indent="1"/>
      <protection locked="0"/>
    </xf>
    <xf numFmtId="166" fontId="5" fillId="0" borderId="52" xfId="0" applyNumberFormat="1" applyFont="1" applyBorder="1" applyAlignment="1" applyProtection="1">
      <alignment horizontal="left" vertical="center" indent="1"/>
      <protection locked="0"/>
    </xf>
    <xf numFmtId="166" fontId="9" fillId="0" borderId="7" xfId="0" applyNumberFormat="1" applyFont="1" applyBorder="1" applyAlignment="1" applyProtection="1">
      <alignment horizontal="left" vertical="center" indent="1"/>
      <protection locked="0"/>
    </xf>
    <xf numFmtId="166" fontId="9" fillId="0" borderId="0" xfId="0" applyNumberFormat="1" applyFont="1" applyAlignment="1" applyProtection="1">
      <alignment horizontal="left" vertical="center" indent="1"/>
      <protection locked="0"/>
    </xf>
    <xf numFmtId="166" fontId="9" fillId="0" borderId="52" xfId="0" applyNumberFormat="1" applyFont="1" applyBorder="1" applyAlignment="1" applyProtection="1">
      <alignment horizontal="left" vertical="center" indent="1"/>
      <protection locked="0"/>
    </xf>
    <xf numFmtId="0" fontId="7" fillId="0" borderId="0" xfId="0" applyFont="1" applyAlignment="1" applyProtection="1">
      <alignment wrapText="1"/>
      <protection locked="0"/>
    </xf>
    <xf numFmtId="0" fontId="13" fillId="5" borderId="13" xfId="1" applyFont="1" applyFill="1" applyBorder="1" applyAlignment="1" applyProtection="1">
      <alignment horizontal="center"/>
      <protection locked="0"/>
    </xf>
    <xf numFmtId="166" fontId="5" fillId="0" borderId="28" xfId="0" applyNumberFormat="1" applyFont="1" applyBorder="1" applyAlignment="1" applyProtection="1">
      <alignment horizontal="center" vertical="top" wrapText="1"/>
      <protection locked="0"/>
    </xf>
    <xf numFmtId="166" fontId="5" fillId="0" borderId="29" xfId="0" applyNumberFormat="1" applyFont="1" applyBorder="1" applyAlignment="1" applyProtection="1">
      <alignment horizontal="center" vertical="top" wrapText="1"/>
      <protection locked="0"/>
    </xf>
    <xf numFmtId="166" fontId="5" fillId="0" borderId="30" xfId="0" applyNumberFormat="1" applyFont="1" applyBorder="1" applyAlignment="1" applyProtection="1">
      <alignment horizontal="center" vertical="top" wrapText="1"/>
      <protection locked="0"/>
    </xf>
    <xf numFmtId="170" fontId="9" fillId="0" borderId="7" xfId="0" applyNumberFormat="1" applyFont="1" applyBorder="1" applyAlignment="1" applyProtection="1">
      <alignment horizontal="left" vertical="top"/>
      <protection locked="0"/>
    </xf>
    <xf numFmtId="170" fontId="9" fillId="0" borderId="0" xfId="0" applyNumberFormat="1" applyFont="1" applyAlignment="1" applyProtection="1">
      <alignment horizontal="left" vertical="top"/>
      <protection locked="0"/>
    </xf>
    <xf numFmtId="166" fontId="9" fillId="0" borderId="7" xfId="0" applyNumberFormat="1" applyFont="1" applyBorder="1" applyAlignment="1" applyProtection="1">
      <alignment horizontal="left" vertical="top"/>
      <protection locked="0"/>
    </xf>
    <xf numFmtId="166" fontId="9" fillId="0" borderId="0" xfId="0" applyNumberFormat="1" applyFont="1" applyAlignment="1" applyProtection="1">
      <alignment horizontal="left" vertical="top"/>
      <protection locked="0"/>
    </xf>
    <xf numFmtId="166" fontId="5" fillId="0" borderId="0" xfId="0" applyNumberFormat="1" applyFont="1" applyAlignment="1" applyProtection="1">
      <alignment horizontal="left" vertical="top"/>
      <protection locked="0"/>
    </xf>
    <xf numFmtId="169" fontId="9" fillId="0" borderId="7" xfId="0" applyNumberFormat="1" applyFont="1" applyBorder="1" applyAlignment="1" applyProtection="1">
      <alignment horizontal="left" vertical="top"/>
      <protection locked="0"/>
    </xf>
    <xf numFmtId="169" fontId="9" fillId="0" borderId="0" xfId="0" applyNumberFormat="1" applyFont="1" applyAlignment="1" applyProtection="1">
      <alignment horizontal="left" vertical="top"/>
      <protection locked="0"/>
    </xf>
    <xf numFmtId="0" fontId="7" fillId="0" borderId="0" xfId="0" applyFont="1" applyAlignment="1" applyProtection="1">
      <alignment horizontal="left" wrapText="1"/>
      <protection locked="0"/>
    </xf>
    <xf numFmtId="0" fontId="13" fillId="5" borderId="12" xfId="1" applyFont="1" applyFill="1" applyBorder="1" applyAlignment="1" applyProtection="1">
      <alignment horizontal="center" wrapText="1"/>
      <protection locked="0"/>
    </xf>
    <xf numFmtId="0" fontId="13" fillId="5" borderId="3" xfId="1" applyFont="1" applyFill="1" applyBorder="1" applyAlignment="1" applyProtection="1">
      <alignment horizontal="center" wrapText="1"/>
      <protection locked="0"/>
    </xf>
    <xf numFmtId="0" fontId="45" fillId="0" borderId="0" xfId="0" applyFont="1" applyAlignment="1" applyProtection="1">
      <alignment horizontal="left" vertical="top" wrapText="1"/>
      <protection locked="0"/>
    </xf>
    <xf numFmtId="171" fontId="46" fillId="0" borderId="7" xfId="0" applyNumberFormat="1" applyFont="1" applyBorder="1" applyAlignment="1" applyProtection="1">
      <alignment horizontal="left" vertical="center" indent="1"/>
      <protection locked="0"/>
    </xf>
    <xf numFmtId="171" fontId="46" fillId="0" borderId="0" xfId="0" applyNumberFormat="1" applyFont="1" applyAlignment="1" applyProtection="1">
      <alignment horizontal="left" vertical="center" indent="1"/>
      <protection locked="0"/>
    </xf>
    <xf numFmtId="0" fontId="5" fillId="0" borderId="0" xfId="0" applyFont="1" applyAlignment="1" applyProtection="1">
      <alignment vertical="top" wrapText="1"/>
      <protection locked="0"/>
    </xf>
    <xf numFmtId="166" fontId="5" fillId="0" borderId="7" xfId="0" applyNumberFormat="1" applyFont="1" applyBorder="1" applyAlignment="1" applyProtection="1">
      <alignment horizontal="left" vertical="center" indent="1"/>
      <protection locked="0"/>
    </xf>
    <xf numFmtId="166" fontId="9" fillId="0" borderId="38" xfId="0" applyNumberFormat="1" applyFont="1" applyBorder="1" applyAlignment="1" applyProtection="1">
      <alignment horizontal="left" vertical="center" indent="1"/>
      <protection locked="0"/>
    </xf>
    <xf numFmtId="0" fontId="7" fillId="0" borderId="0" xfId="0" applyFont="1" applyAlignment="1">
      <alignment horizontal="center" vertical="center"/>
    </xf>
    <xf numFmtId="0" fontId="5" fillId="0" borderId="0" xfId="0" applyFont="1" applyAlignment="1" applyProtection="1">
      <alignment horizontal="left" vertical="center" wrapText="1"/>
      <protection locked="0"/>
    </xf>
    <xf numFmtId="0" fontId="32" fillId="6" borderId="0" xfId="1" applyFont="1" applyFill="1" applyAlignment="1" applyProtection="1">
      <alignment horizontal="left"/>
      <protection locked="0"/>
    </xf>
    <xf numFmtId="0" fontId="39" fillId="6" borderId="31" xfId="3" applyFont="1" applyFill="1" applyBorder="1" applyAlignment="1">
      <alignment horizontal="center" vertical="center" wrapText="1"/>
    </xf>
    <xf numFmtId="0" fontId="39" fillId="6" borderId="11" xfId="3" applyFont="1" applyFill="1" applyBorder="1" applyAlignment="1">
      <alignment horizontal="center" vertical="center" wrapText="1"/>
    </xf>
    <xf numFmtId="0" fontId="40" fillId="6" borderId="69" xfId="5" applyFont="1" applyFill="1" applyBorder="1" applyAlignment="1">
      <alignment horizontal="center" vertical="center" wrapText="1"/>
    </xf>
    <xf numFmtId="0" fontId="40" fillId="6" borderId="70" xfId="5" applyFont="1" applyFill="1" applyBorder="1" applyAlignment="1">
      <alignment horizontal="center" vertical="center" wrapText="1"/>
    </xf>
    <xf numFmtId="0" fontId="40" fillId="6" borderId="71" xfId="5" applyFont="1" applyFill="1" applyBorder="1" applyAlignment="1">
      <alignment horizontal="center" vertical="center" wrapText="1"/>
    </xf>
    <xf numFmtId="0" fontId="4" fillId="10" borderId="14" xfId="5" applyFont="1" applyFill="1" applyBorder="1" applyAlignment="1">
      <alignment horizontal="center" vertical="center" wrapText="1"/>
    </xf>
    <xf numFmtId="0" fontId="4" fillId="10" borderId="73" xfId="5" applyFont="1" applyFill="1" applyBorder="1" applyAlignment="1">
      <alignment horizontal="center" vertical="center" wrapText="1"/>
    </xf>
    <xf numFmtId="0" fontId="13" fillId="6" borderId="0" xfId="1" applyFont="1" applyFill="1" applyAlignment="1" applyProtection="1">
      <alignment horizontal="center" vertical="top" wrapText="1"/>
      <protection locked="0"/>
    </xf>
    <xf numFmtId="0" fontId="13" fillId="6" borderId="0" xfId="1" applyFont="1" applyFill="1" applyAlignment="1" applyProtection="1">
      <alignment horizontal="left"/>
      <protection locked="0"/>
    </xf>
    <xf numFmtId="0" fontId="7" fillId="0" borderId="0" xfId="0" applyFont="1" applyAlignment="1" applyProtection="1">
      <alignment horizontal="left" vertical="center" wrapText="1"/>
      <protection locked="0"/>
    </xf>
    <xf numFmtId="0" fontId="39" fillId="6" borderId="10" xfId="3" applyFont="1" applyFill="1" applyBorder="1" applyAlignment="1">
      <alignment horizontal="center" vertical="center" wrapText="1"/>
    </xf>
    <xf numFmtId="0" fontId="39" fillId="6" borderId="10" xfId="3" applyFont="1" applyFill="1" applyBorder="1" applyAlignment="1">
      <alignment horizontal="center" vertical="top" wrapText="1"/>
    </xf>
    <xf numFmtId="0" fontId="39" fillId="6" borderId="31" xfId="3" applyFont="1" applyFill="1" applyBorder="1" applyAlignment="1">
      <alignment horizontal="center" vertical="top" wrapText="1"/>
    </xf>
    <xf numFmtId="0" fontId="5" fillId="0" borderId="1" xfId="0" applyFont="1" applyBorder="1" applyAlignment="1"/>
  </cellXfs>
  <cellStyles count="7">
    <cellStyle name="40% - Accent1" xfId="6" builtinId="31"/>
    <cellStyle name="Currency" xfId="4" builtinId="4"/>
    <cellStyle name="Hyperlink" xfId="3" builtinId="8"/>
    <cellStyle name="Normal" xfId="0" builtinId="0"/>
    <cellStyle name="Normal 2" xfId="5" xr:uid="{00000000-0005-0000-0000-000004000000}"/>
    <cellStyle name="Normal_EXPSUM" xfId="1" xr:uid="{00000000-0005-0000-0000-000005000000}"/>
    <cellStyle name="Percent" xfId="2" builtinId="5"/>
  </cellStyles>
  <dxfs count="42">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none">
          <fgColor indexed="64"/>
          <bgColor indexed="65"/>
        </patternFill>
      </fill>
      <alignment horizontal="left" vertical="top" textRotation="0" wrapText="0" indent="0" justifyLastLine="0" shrinkToFit="0" readingOrder="0"/>
      <border diagonalUp="0" diagonalDown="0">
        <left/>
        <right/>
        <top style="thin">
          <color auto="1"/>
        </top>
        <bottom style="thin">
          <color auto="1"/>
        </bottom>
        <vertical/>
        <horizontal style="thin">
          <color auto="1"/>
        </horizontal>
      </border>
    </dxf>
    <dxf>
      <font>
        <b val="0"/>
      </font>
      <alignment textRotation="0" wrapText="1" indent="0" justifyLastLine="0" shrinkToFit="0" readingOrder="0"/>
      <border diagonalUp="0" diagonalDown="0">
        <left/>
        <right/>
        <top style="thin">
          <color auto="1"/>
        </top>
        <bottom style="thin">
          <color auto="1"/>
        </bottom>
        <vertical/>
        <horizontal style="thin">
          <color auto="1"/>
        </horizontal>
      </border>
    </dxf>
    <dxf>
      <border diagonalUp="0" diagonalDown="0">
        <left/>
        <right/>
        <top style="thin">
          <color auto="1"/>
        </top>
        <bottom style="thin">
          <color auto="1"/>
        </bottom>
        <vertical/>
        <horizontal style="thin">
          <color auto="1"/>
        </horizontal>
      </border>
    </dxf>
    <dxf>
      <alignment textRotation="0" wrapText="1" indent="0" justifyLastLine="0" shrinkToFit="0" readingOrder="0"/>
      <border diagonalUp="0" diagonalDown="0">
        <left/>
        <right/>
        <top style="thin">
          <color auto="1"/>
        </top>
        <bottom style="thin">
          <color auto="1"/>
        </bottom>
        <vertical/>
        <horizontal style="thin">
          <color auto="1"/>
        </horizontal>
      </border>
    </dxf>
    <dxf>
      <alignment horizontal="general" vertical="bottom" textRotation="0" wrapText="1" indent="0" justifyLastLine="0" shrinkToFit="0" readingOrder="0"/>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3"/>
      </font>
      <fill>
        <patternFill>
          <bgColor theme="3" tint="0.79998168889431442"/>
        </patternFill>
      </fill>
    </dxf>
    <dxf>
      <font>
        <color rgb="FF9C6500"/>
      </font>
      <fill>
        <patternFill>
          <bgColor rgb="FFFFEB9C"/>
        </patternFill>
      </fill>
    </dxf>
    <dxf>
      <font>
        <color rgb="FFC00000"/>
      </font>
      <fill>
        <patternFill>
          <bgColor rgb="FFFFD9D9"/>
        </patternFill>
      </fill>
    </dxf>
    <dxf>
      <font>
        <color theme="3"/>
      </font>
      <fill>
        <patternFill>
          <bgColor theme="3" tint="0.79998168889431442"/>
        </patternFill>
      </fill>
    </dxf>
    <dxf>
      <font>
        <color rgb="FF9C6500"/>
      </font>
      <fill>
        <patternFill>
          <bgColor rgb="FFFFEB9C"/>
        </patternFill>
      </fill>
    </dxf>
    <dxf>
      <font>
        <color rgb="FFC00000"/>
      </font>
      <fill>
        <patternFill>
          <bgColor rgb="FFFFD9D9"/>
        </patternFill>
      </fill>
    </dxf>
    <dxf>
      <font>
        <color theme="3"/>
      </font>
      <fill>
        <patternFill>
          <bgColor theme="3" tint="0.79998168889431442"/>
        </patternFill>
      </fill>
    </dxf>
    <dxf>
      <font>
        <color rgb="FF9C6500"/>
      </font>
      <fill>
        <patternFill>
          <bgColor rgb="FFFFEB9C"/>
        </patternFill>
      </fill>
    </dxf>
    <dxf>
      <font>
        <color rgb="FFC00000"/>
      </font>
      <fill>
        <patternFill>
          <bgColor rgb="FFFFD9D9"/>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2" tint="-0.499984740745262"/>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right/>
        <top/>
        <bottom/>
        <vertical/>
        <horizontal/>
      </border>
    </dxf>
    <dxf>
      <font>
        <color theme="9" tint="0.59996337778862885"/>
      </font>
    </dxf>
    <dxf>
      <font>
        <color theme="9" tint="0.59996337778862885"/>
      </font>
    </dxf>
    <dxf>
      <font>
        <color theme="9" tint="0.59996337778862885"/>
      </font>
    </dxf>
  </dxfs>
  <tableStyles count="0" defaultTableStyle="TableStyleMedium2" defaultPivotStyle="PivotStyleLight16"/>
  <colors>
    <mruColors>
      <color rgb="FFE2F0D9"/>
      <color rgb="FFFFD9D9"/>
      <color rgb="FFF2C1FF"/>
      <color rgb="FF4B0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iagrams/_rels/data1.xml.rels><?xml version="1.0" encoding="UTF-8" standalone="yes"?>
<Relationships xmlns="http://schemas.openxmlformats.org/package/2006/relationships"><Relationship Id="rId3" Type="http://schemas.openxmlformats.org/officeDocument/2006/relationships/hyperlink" Target="https://www.csh.org/csh-solutions/training-professional-development/" TargetMode="External"/><Relationship Id="rId2" Type="http://schemas.openxmlformats.org/officeDocument/2006/relationships/hyperlink" Target="https://www.csh.org/health/" TargetMode="External"/><Relationship Id="rId1" Type="http://schemas.openxmlformats.org/officeDocument/2006/relationships/hyperlink" Target="https://drive.google.com/drive/folders/14ZJpNniA72FLEPSDA-RYCU6G8nl3-Z9X" TargetMode="External"/><Relationship Id="rId4" Type="http://schemas.openxmlformats.org/officeDocument/2006/relationships/hyperlink" Target="https://www.thegfha.org/1915i.html" TargetMode="Externa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087C83C6-FD2D-49B8-A5AC-92FCFB3106E1}" type="doc">
      <dgm:prSet loTypeId="urn:microsoft.com/office/officeart/2005/8/layout/chevronAccent+Icon" loCatId="process" qsTypeId="urn:microsoft.com/office/officeart/2005/8/quickstyle/simple1" qsCatId="simple" csTypeId="urn:microsoft.com/office/officeart/2005/8/colors/accent1_2" csCatId="accent1" phldr="1"/>
      <dgm:spPr/>
    </dgm:pt>
    <dgm:pt modelId="{AA46C6F7-EA4E-42A9-9874-E3EB9C33A0D8}">
      <dgm:prSet phldrT="[Text]" custT="1"/>
      <dgm:spPr>
        <a:solidFill>
          <a:schemeClr val="bg1">
            <a:lumMod val="95000"/>
          </a:schemeClr>
        </a:solidFill>
        <a:ln w="57150">
          <a:solidFill>
            <a:sysClr val="windowText" lastClr="000000"/>
          </a:solidFill>
        </a:ln>
      </dgm:spPr>
      <dgm:t>
        <a:bodyPr/>
        <a:lstStyle/>
        <a:p>
          <a:r>
            <a:rPr lang="en-US" sz="1800" b="1" u="sng">
              <a:solidFill>
                <a:srgbClr val="00B0F0"/>
              </a:solidFill>
            </a:rPr>
            <a:t>User Guide</a:t>
          </a:r>
        </a:p>
      </dgm:t>
      <dgm:extLst>
        <a:ext uri="{E40237B7-FDA0-4F09-8148-C483321AD2D9}">
          <dgm14:cNvPr xmlns:dgm14="http://schemas.microsoft.com/office/drawing/2010/diagram" id="0" name="">
            <a:hlinkClick xmlns:r="http://schemas.openxmlformats.org/officeDocument/2006/relationships" r:id="rId1"/>
          </dgm14:cNvPr>
        </a:ext>
      </dgm:extLst>
    </dgm:pt>
    <dgm:pt modelId="{48D070EC-1B47-4E19-907A-04CBF781EA23}" type="parTrans" cxnId="{0492EA6C-50F8-4D65-AD54-E1EE7C4F40B0}">
      <dgm:prSet/>
      <dgm:spPr/>
      <dgm:t>
        <a:bodyPr/>
        <a:lstStyle/>
        <a:p>
          <a:endParaRPr lang="en-US"/>
        </a:p>
      </dgm:t>
    </dgm:pt>
    <dgm:pt modelId="{BEF1974C-9E79-4B99-833D-F25A38E0D963}" type="sibTrans" cxnId="{0492EA6C-50F8-4D65-AD54-E1EE7C4F40B0}">
      <dgm:prSet/>
      <dgm:spPr/>
      <dgm:t>
        <a:bodyPr/>
        <a:lstStyle/>
        <a:p>
          <a:endParaRPr lang="en-US"/>
        </a:p>
      </dgm:t>
    </dgm:pt>
    <dgm:pt modelId="{ADF5FC08-2D21-46D7-8A07-03DFE4015B22}">
      <dgm:prSet phldrT="[Text]" custT="1"/>
      <dgm:spPr>
        <a:solidFill>
          <a:schemeClr val="bg1">
            <a:lumMod val="95000"/>
          </a:schemeClr>
        </a:solidFill>
        <a:ln w="57150">
          <a:solidFill>
            <a:sysClr val="windowText" lastClr="000000"/>
          </a:solidFill>
        </a:ln>
      </dgm:spPr>
      <dgm:t>
        <a:bodyPr/>
        <a:lstStyle/>
        <a:p>
          <a:r>
            <a:rPr lang="en-US" sz="1800" b="1" u="sng">
              <a:solidFill>
                <a:srgbClr val="00B0F0"/>
              </a:solidFill>
            </a:rPr>
            <a:t>Contact  CSH for more assistance  </a:t>
          </a:r>
        </a:p>
      </dgm:t>
      <dgm:extLst>
        <a:ext uri="{E40237B7-FDA0-4F09-8148-C483321AD2D9}">
          <dgm14:cNvPr xmlns:dgm14="http://schemas.microsoft.com/office/drawing/2010/diagram" id="0" name="">
            <a:hlinkClick xmlns:r="http://schemas.openxmlformats.org/officeDocument/2006/relationships" r:id="rId2"/>
          </dgm14:cNvPr>
        </a:ext>
      </dgm:extLst>
    </dgm:pt>
    <dgm:pt modelId="{D61FC63B-742A-453A-9288-1EDFA47DB4C1}" type="parTrans" cxnId="{2B925448-0DAA-4D9F-BA7E-FF9BBB618194}">
      <dgm:prSet/>
      <dgm:spPr/>
      <dgm:t>
        <a:bodyPr/>
        <a:lstStyle/>
        <a:p>
          <a:endParaRPr lang="en-US"/>
        </a:p>
      </dgm:t>
    </dgm:pt>
    <dgm:pt modelId="{6F1688FC-F0B9-49DE-BEFD-AF78476809D3}" type="sibTrans" cxnId="{2B925448-0DAA-4D9F-BA7E-FF9BBB618194}">
      <dgm:prSet/>
      <dgm:spPr/>
      <dgm:t>
        <a:bodyPr/>
        <a:lstStyle/>
        <a:p>
          <a:endParaRPr lang="en-US"/>
        </a:p>
      </dgm:t>
    </dgm:pt>
    <dgm:pt modelId="{77BB29CD-816A-4C8C-A2D9-6E0A35D1CF8A}">
      <dgm:prSet phldrT="[Text]" custT="1"/>
      <dgm:spPr>
        <a:solidFill>
          <a:schemeClr val="bg1">
            <a:lumMod val="95000"/>
          </a:schemeClr>
        </a:solidFill>
        <a:ln w="57150">
          <a:solidFill>
            <a:sysClr val="windowText" lastClr="000000"/>
          </a:solidFill>
        </a:ln>
      </dgm:spPr>
      <dgm:t>
        <a:bodyPr/>
        <a:lstStyle/>
        <a:p>
          <a:r>
            <a:rPr lang="en-US" sz="1800" b="1" u="sng">
              <a:solidFill>
                <a:srgbClr val="00B0F0"/>
              </a:solidFill>
            </a:rPr>
            <a:t>Training on Staffing Models, Approaches and Services Funding</a:t>
          </a:r>
        </a:p>
      </dgm:t>
      <dgm:extLst>
        <a:ext uri="{E40237B7-FDA0-4F09-8148-C483321AD2D9}">
          <dgm14:cNvPr xmlns:dgm14="http://schemas.microsoft.com/office/drawing/2010/diagram" id="0" name="">
            <a:hlinkClick xmlns:r="http://schemas.openxmlformats.org/officeDocument/2006/relationships" r:id="rId3"/>
          </dgm14:cNvPr>
        </a:ext>
      </dgm:extLst>
    </dgm:pt>
    <dgm:pt modelId="{55C99ACA-6348-4F0B-9BCA-1EDA41B2FE45}" type="parTrans" cxnId="{DC9684F7-0C92-4099-9618-19AD7CF999E6}">
      <dgm:prSet/>
      <dgm:spPr/>
      <dgm:t>
        <a:bodyPr/>
        <a:lstStyle/>
        <a:p>
          <a:endParaRPr lang="en-US"/>
        </a:p>
      </dgm:t>
    </dgm:pt>
    <dgm:pt modelId="{2FE7B8E7-28ED-4939-B61A-C4D2B482A945}" type="sibTrans" cxnId="{DC9684F7-0C92-4099-9618-19AD7CF999E6}">
      <dgm:prSet/>
      <dgm:spPr/>
      <dgm:t>
        <a:bodyPr/>
        <a:lstStyle/>
        <a:p>
          <a:endParaRPr lang="en-US"/>
        </a:p>
      </dgm:t>
    </dgm:pt>
    <dgm:pt modelId="{CE66B7EF-1F03-4270-9DFD-24C3AD0A693A}">
      <dgm:prSet phldrT="[Text]" custT="1"/>
      <dgm:spPr>
        <a:ln w="57150">
          <a:solidFill>
            <a:sysClr val="windowText" lastClr="000000"/>
          </a:solidFill>
        </a:ln>
      </dgm:spPr>
      <dgm:t>
        <a:bodyPr/>
        <a:lstStyle/>
        <a:p>
          <a:r>
            <a:rPr lang="en-US" sz="1800" b="1" u="sng">
              <a:solidFill>
                <a:srgbClr val="00B0F0"/>
              </a:solidFill>
            </a:rPr>
            <a:t>References &amp; Resources</a:t>
          </a:r>
        </a:p>
      </dgm:t>
      <dgm:extLst>
        <a:ext uri="{E40237B7-FDA0-4F09-8148-C483321AD2D9}">
          <dgm14:cNvPr xmlns:dgm14="http://schemas.microsoft.com/office/drawing/2010/diagram" id="0" name="">
            <a:hlinkClick xmlns:r="http://schemas.openxmlformats.org/officeDocument/2006/relationships" r:id="rId4"/>
          </dgm14:cNvPr>
        </a:ext>
      </dgm:extLst>
    </dgm:pt>
    <dgm:pt modelId="{7CEB86B1-1960-421F-9E05-191F56ABC6FE}" type="sibTrans" cxnId="{A5B40060-43D2-4547-B246-FEDC8F3EF622}">
      <dgm:prSet/>
      <dgm:spPr/>
      <dgm:t>
        <a:bodyPr/>
        <a:lstStyle/>
        <a:p>
          <a:endParaRPr lang="en-US"/>
        </a:p>
      </dgm:t>
    </dgm:pt>
    <dgm:pt modelId="{8FC9CC73-6186-4B43-9405-18DE8C1F422A}" type="parTrans" cxnId="{A5B40060-43D2-4547-B246-FEDC8F3EF622}">
      <dgm:prSet/>
      <dgm:spPr/>
      <dgm:t>
        <a:bodyPr/>
        <a:lstStyle/>
        <a:p>
          <a:endParaRPr lang="en-US"/>
        </a:p>
      </dgm:t>
    </dgm:pt>
    <dgm:pt modelId="{5E9DD44C-8821-4E17-8483-F5546A193652}" type="pres">
      <dgm:prSet presAssocID="{087C83C6-FD2D-49B8-A5AC-92FCFB3106E1}" presName="Name0" presStyleCnt="0">
        <dgm:presLayoutVars>
          <dgm:dir/>
          <dgm:resizeHandles val="exact"/>
        </dgm:presLayoutVars>
      </dgm:prSet>
      <dgm:spPr/>
    </dgm:pt>
    <dgm:pt modelId="{58EE4EA7-7852-45C9-8FF6-FFEFFB01B8A5}" type="pres">
      <dgm:prSet presAssocID="{AA46C6F7-EA4E-42A9-9874-E3EB9C33A0D8}" presName="composite" presStyleCnt="0"/>
      <dgm:spPr/>
    </dgm:pt>
    <dgm:pt modelId="{35DB1CE2-96E7-408E-9447-DECD124CE25D}" type="pres">
      <dgm:prSet presAssocID="{AA46C6F7-EA4E-42A9-9874-E3EB9C33A0D8}" presName="bgChev" presStyleLbl="node1" presStyleIdx="0" presStyleCnt="4"/>
      <dgm:spPr>
        <a:solidFill>
          <a:schemeClr val="accent6">
            <a:lumMod val="60000"/>
            <a:lumOff val="40000"/>
          </a:schemeClr>
        </a:solidFill>
      </dgm:spPr>
    </dgm:pt>
    <dgm:pt modelId="{4FD47B26-9D3F-4E7E-842E-288CA6766BE7}" type="pres">
      <dgm:prSet presAssocID="{AA46C6F7-EA4E-42A9-9874-E3EB9C33A0D8}" presName="txNode" presStyleLbl="fgAcc1" presStyleIdx="0" presStyleCnt="4">
        <dgm:presLayoutVars>
          <dgm:bulletEnabled val="1"/>
        </dgm:presLayoutVars>
      </dgm:prSet>
      <dgm:spPr/>
      <dgm:t>
        <a:bodyPr/>
        <a:lstStyle/>
        <a:p>
          <a:endParaRPr lang="en-US"/>
        </a:p>
      </dgm:t>
    </dgm:pt>
    <dgm:pt modelId="{6C958C79-56FF-4C72-8A51-6BDA19530D89}" type="pres">
      <dgm:prSet presAssocID="{BEF1974C-9E79-4B99-833D-F25A38E0D963}" presName="compositeSpace" presStyleCnt="0"/>
      <dgm:spPr/>
    </dgm:pt>
    <dgm:pt modelId="{5CF34F8C-C6B7-4EBC-A85C-EC87D04DEBB7}" type="pres">
      <dgm:prSet presAssocID="{77BB29CD-816A-4C8C-A2D9-6E0A35D1CF8A}" presName="composite" presStyleCnt="0"/>
      <dgm:spPr/>
    </dgm:pt>
    <dgm:pt modelId="{AEFA78CC-B4C4-463D-80F7-C865371CA246}" type="pres">
      <dgm:prSet presAssocID="{77BB29CD-816A-4C8C-A2D9-6E0A35D1CF8A}" presName="bgChev" presStyleLbl="node1" presStyleIdx="1" presStyleCnt="4"/>
      <dgm:spPr>
        <a:solidFill>
          <a:schemeClr val="accent6">
            <a:lumMod val="60000"/>
            <a:lumOff val="40000"/>
          </a:schemeClr>
        </a:solidFill>
      </dgm:spPr>
    </dgm:pt>
    <dgm:pt modelId="{F68D1940-B02B-42E2-8DB9-A56C84D11EA3}" type="pres">
      <dgm:prSet presAssocID="{77BB29CD-816A-4C8C-A2D9-6E0A35D1CF8A}" presName="txNode" presStyleLbl="fgAcc1" presStyleIdx="1" presStyleCnt="4" custScaleY="117726">
        <dgm:presLayoutVars>
          <dgm:bulletEnabled val="1"/>
        </dgm:presLayoutVars>
      </dgm:prSet>
      <dgm:spPr/>
      <dgm:t>
        <a:bodyPr/>
        <a:lstStyle/>
        <a:p>
          <a:endParaRPr lang="en-US"/>
        </a:p>
      </dgm:t>
    </dgm:pt>
    <dgm:pt modelId="{94B3F50C-81AE-4194-9B7C-38D355EC549B}" type="pres">
      <dgm:prSet presAssocID="{2FE7B8E7-28ED-4939-B61A-C4D2B482A945}" presName="compositeSpace" presStyleCnt="0"/>
      <dgm:spPr/>
    </dgm:pt>
    <dgm:pt modelId="{D62B7BDA-7EAC-48DD-B6CB-4734C4441BEF}" type="pres">
      <dgm:prSet presAssocID="{CE66B7EF-1F03-4270-9DFD-24C3AD0A693A}" presName="composite" presStyleCnt="0"/>
      <dgm:spPr/>
    </dgm:pt>
    <dgm:pt modelId="{9E201946-602C-424C-92AC-0CF44F114D95}" type="pres">
      <dgm:prSet presAssocID="{CE66B7EF-1F03-4270-9DFD-24C3AD0A693A}" presName="bgChev" presStyleLbl="node1" presStyleIdx="2" presStyleCnt="4"/>
      <dgm:spPr>
        <a:solidFill>
          <a:schemeClr val="accent6">
            <a:lumMod val="60000"/>
            <a:lumOff val="40000"/>
          </a:schemeClr>
        </a:solidFill>
      </dgm:spPr>
    </dgm:pt>
    <dgm:pt modelId="{DD1C91E8-1E17-47EB-A56B-A07C907FCAF1}" type="pres">
      <dgm:prSet presAssocID="{CE66B7EF-1F03-4270-9DFD-24C3AD0A693A}" presName="txNode" presStyleLbl="fgAcc1" presStyleIdx="2" presStyleCnt="4">
        <dgm:presLayoutVars>
          <dgm:bulletEnabled val="1"/>
        </dgm:presLayoutVars>
      </dgm:prSet>
      <dgm:spPr/>
      <dgm:t>
        <a:bodyPr/>
        <a:lstStyle/>
        <a:p>
          <a:endParaRPr lang="en-US"/>
        </a:p>
      </dgm:t>
    </dgm:pt>
    <dgm:pt modelId="{0617EFFB-CA89-4BDB-A3CD-C60086AD5D50}" type="pres">
      <dgm:prSet presAssocID="{7CEB86B1-1960-421F-9E05-191F56ABC6FE}" presName="compositeSpace" presStyleCnt="0"/>
      <dgm:spPr/>
    </dgm:pt>
    <dgm:pt modelId="{9BEF7CDF-2CC2-40F6-976A-780B232C5990}" type="pres">
      <dgm:prSet presAssocID="{ADF5FC08-2D21-46D7-8A07-03DFE4015B22}" presName="composite" presStyleCnt="0"/>
      <dgm:spPr/>
    </dgm:pt>
    <dgm:pt modelId="{B68F837A-5B06-4042-AC48-5EBE835D59B5}" type="pres">
      <dgm:prSet presAssocID="{ADF5FC08-2D21-46D7-8A07-03DFE4015B22}" presName="bgChev" presStyleLbl="node1" presStyleIdx="3" presStyleCnt="4"/>
      <dgm:spPr>
        <a:solidFill>
          <a:schemeClr val="accent6">
            <a:lumMod val="60000"/>
            <a:lumOff val="40000"/>
          </a:schemeClr>
        </a:solidFill>
      </dgm:spPr>
    </dgm:pt>
    <dgm:pt modelId="{56BF3D58-521E-429C-99CF-AC7B4598CBC5}" type="pres">
      <dgm:prSet presAssocID="{ADF5FC08-2D21-46D7-8A07-03DFE4015B22}" presName="txNode" presStyleLbl="fgAcc1" presStyleIdx="3" presStyleCnt="4">
        <dgm:presLayoutVars>
          <dgm:bulletEnabled val="1"/>
        </dgm:presLayoutVars>
      </dgm:prSet>
      <dgm:spPr/>
      <dgm:t>
        <a:bodyPr/>
        <a:lstStyle/>
        <a:p>
          <a:endParaRPr lang="en-US"/>
        </a:p>
      </dgm:t>
    </dgm:pt>
  </dgm:ptLst>
  <dgm:cxnLst>
    <dgm:cxn modelId="{A5B40060-43D2-4547-B246-FEDC8F3EF622}" srcId="{087C83C6-FD2D-49B8-A5AC-92FCFB3106E1}" destId="{CE66B7EF-1F03-4270-9DFD-24C3AD0A693A}" srcOrd="2" destOrd="0" parTransId="{8FC9CC73-6186-4B43-9405-18DE8C1F422A}" sibTransId="{7CEB86B1-1960-421F-9E05-191F56ABC6FE}"/>
    <dgm:cxn modelId="{761BEA1D-99DA-4AC0-BC60-176C214AD78E}" type="presOf" srcId="{ADF5FC08-2D21-46D7-8A07-03DFE4015B22}" destId="{56BF3D58-521E-429C-99CF-AC7B4598CBC5}" srcOrd="0" destOrd="0" presId="urn:microsoft.com/office/officeart/2005/8/layout/chevronAccent+Icon"/>
    <dgm:cxn modelId="{2B925448-0DAA-4D9F-BA7E-FF9BBB618194}" srcId="{087C83C6-FD2D-49B8-A5AC-92FCFB3106E1}" destId="{ADF5FC08-2D21-46D7-8A07-03DFE4015B22}" srcOrd="3" destOrd="0" parTransId="{D61FC63B-742A-453A-9288-1EDFA47DB4C1}" sibTransId="{6F1688FC-F0B9-49DE-BEFD-AF78476809D3}"/>
    <dgm:cxn modelId="{0492EA6C-50F8-4D65-AD54-E1EE7C4F40B0}" srcId="{087C83C6-FD2D-49B8-A5AC-92FCFB3106E1}" destId="{AA46C6F7-EA4E-42A9-9874-E3EB9C33A0D8}" srcOrd="0" destOrd="0" parTransId="{48D070EC-1B47-4E19-907A-04CBF781EA23}" sibTransId="{BEF1974C-9E79-4B99-833D-F25A38E0D963}"/>
    <dgm:cxn modelId="{7EDBBC0E-EEC4-4DDE-AB80-35FC6AA8861B}" type="presOf" srcId="{AA46C6F7-EA4E-42A9-9874-E3EB9C33A0D8}" destId="{4FD47B26-9D3F-4E7E-842E-288CA6766BE7}" srcOrd="0" destOrd="0" presId="urn:microsoft.com/office/officeart/2005/8/layout/chevronAccent+Icon"/>
    <dgm:cxn modelId="{2387F1C9-75DF-4043-8B25-5B613F452815}" type="presOf" srcId="{77BB29CD-816A-4C8C-A2D9-6E0A35D1CF8A}" destId="{F68D1940-B02B-42E2-8DB9-A56C84D11EA3}" srcOrd="0" destOrd="0" presId="urn:microsoft.com/office/officeart/2005/8/layout/chevronAccent+Icon"/>
    <dgm:cxn modelId="{B05CA4E8-0904-40A8-8711-41A70C57C345}" type="presOf" srcId="{CE66B7EF-1F03-4270-9DFD-24C3AD0A693A}" destId="{DD1C91E8-1E17-47EB-A56B-A07C907FCAF1}" srcOrd="0" destOrd="0" presId="urn:microsoft.com/office/officeart/2005/8/layout/chevronAccent+Icon"/>
    <dgm:cxn modelId="{DC9684F7-0C92-4099-9618-19AD7CF999E6}" srcId="{087C83C6-FD2D-49B8-A5AC-92FCFB3106E1}" destId="{77BB29CD-816A-4C8C-A2D9-6E0A35D1CF8A}" srcOrd="1" destOrd="0" parTransId="{55C99ACA-6348-4F0B-9BCA-1EDA41B2FE45}" sibTransId="{2FE7B8E7-28ED-4939-B61A-C4D2B482A945}"/>
    <dgm:cxn modelId="{57204AE7-8BE1-4146-A498-A46E76E18605}" type="presOf" srcId="{087C83C6-FD2D-49B8-A5AC-92FCFB3106E1}" destId="{5E9DD44C-8821-4E17-8483-F5546A193652}" srcOrd="0" destOrd="0" presId="urn:microsoft.com/office/officeart/2005/8/layout/chevronAccent+Icon"/>
    <dgm:cxn modelId="{DCCF7770-081C-42AE-A2D0-ADBEBDEC5723}" type="presParOf" srcId="{5E9DD44C-8821-4E17-8483-F5546A193652}" destId="{58EE4EA7-7852-45C9-8FF6-FFEFFB01B8A5}" srcOrd="0" destOrd="0" presId="urn:microsoft.com/office/officeart/2005/8/layout/chevronAccent+Icon"/>
    <dgm:cxn modelId="{707B3DD6-6689-412C-97D2-835E8612AD09}" type="presParOf" srcId="{58EE4EA7-7852-45C9-8FF6-FFEFFB01B8A5}" destId="{35DB1CE2-96E7-408E-9447-DECD124CE25D}" srcOrd="0" destOrd="0" presId="urn:microsoft.com/office/officeart/2005/8/layout/chevronAccent+Icon"/>
    <dgm:cxn modelId="{19B89620-987D-4BB8-9012-407A694C6278}" type="presParOf" srcId="{58EE4EA7-7852-45C9-8FF6-FFEFFB01B8A5}" destId="{4FD47B26-9D3F-4E7E-842E-288CA6766BE7}" srcOrd="1" destOrd="0" presId="urn:microsoft.com/office/officeart/2005/8/layout/chevronAccent+Icon"/>
    <dgm:cxn modelId="{9C583063-FBC2-48C0-AD79-4E2B3640C74C}" type="presParOf" srcId="{5E9DD44C-8821-4E17-8483-F5546A193652}" destId="{6C958C79-56FF-4C72-8A51-6BDA19530D89}" srcOrd="1" destOrd="0" presId="urn:microsoft.com/office/officeart/2005/8/layout/chevronAccent+Icon"/>
    <dgm:cxn modelId="{6DFDB3D4-3864-47BA-A01D-F493E41D6F33}" type="presParOf" srcId="{5E9DD44C-8821-4E17-8483-F5546A193652}" destId="{5CF34F8C-C6B7-4EBC-A85C-EC87D04DEBB7}" srcOrd="2" destOrd="0" presId="urn:microsoft.com/office/officeart/2005/8/layout/chevronAccent+Icon"/>
    <dgm:cxn modelId="{A9E6CFC6-ECF2-4EEB-AD49-393A99917637}" type="presParOf" srcId="{5CF34F8C-C6B7-4EBC-A85C-EC87D04DEBB7}" destId="{AEFA78CC-B4C4-463D-80F7-C865371CA246}" srcOrd="0" destOrd="0" presId="urn:microsoft.com/office/officeart/2005/8/layout/chevronAccent+Icon"/>
    <dgm:cxn modelId="{2092A4D4-93B8-4833-B908-FCEEC68B96BB}" type="presParOf" srcId="{5CF34F8C-C6B7-4EBC-A85C-EC87D04DEBB7}" destId="{F68D1940-B02B-42E2-8DB9-A56C84D11EA3}" srcOrd="1" destOrd="0" presId="urn:microsoft.com/office/officeart/2005/8/layout/chevronAccent+Icon"/>
    <dgm:cxn modelId="{44D8E0D2-35CB-4232-A7ED-BACD161B2407}" type="presParOf" srcId="{5E9DD44C-8821-4E17-8483-F5546A193652}" destId="{94B3F50C-81AE-4194-9B7C-38D355EC549B}" srcOrd="3" destOrd="0" presId="urn:microsoft.com/office/officeart/2005/8/layout/chevronAccent+Icon"/>
    <dgm:cxn modelId="{D653885D-4549-43C1-8723-50C2ADB3D358}" type="presParOf" srcId="{5E9DD44C-8821-4E17-8483-F5546A193652}" destId="{D62B7BDA-7EAC-48DD-B6CB-4734C4441BEF}" srcOrd="4" destOrd="0" presId="urn:microsoft.com/office/officeart/2005/8/layout/chevronAccent+Icon"/>
    <dgm:cxn modelId="{F1A24B08-E5E3-4FE8-8136-A72466E3D83F}" type="presParOf" srcId="{D62B7BDA-7EAC-48DD-B6CB-4734C4441BEF}" destId="{9E201946-602C-424C-92AC-0CF44F114D95}" srcOrd="0" destOrd="0" presId="urn:microsoft.com/office/officeart/2005/8/layout/chevronAccent+Icon"/>
    <dgm:cxn modelId="{B4A5DBA9-0217-4512-9C63-2884671F57DF}" type="presParOf" srcId="{D62B7BDA-7EAC-48DD-B6CB-4734C4441BEF}" destId="{DD1C91E8-1E17-47EB-A56B-A07C907FCAF1}" srcOrd="1" destOrd="0" presId="urn:microsoft.com/office/officeart/2005/8/layout/chevronAccent+Icon"/>
    <dgm:cxn modelId="{04A0B17D-E39D-4391-8DC5-F9EF489E4465}" type="presParOf" srcId="{5E9DD44C-8821-4E17-8483-F5546A193652}" destId="{0617EFFB-CA89-4BDB-A3CD-C60086AD5D50}" srcOrd="5" destOrd="0" presId="urn:microsoft.com/office/officeart/2005/8/layout/chevronAccent+Icon"/>
    <dgm:cxn modelId="{E8D82820-A712-4248-A257-F3C03FC34644}" type="presParOf" srcId="{5E9DD44C-8821-4E17-8483-F5546A193652}" destId="{9BEF7CDF-2CC2-40F6-976A-780B232C5990}" srcOrd="6" destOrd="0" presId="urn:microsoft.com/office/officeart/2005/8/layout/chevronAccent+Icon"/>
    <dgm:cxn modelId="{3F38C169-3796-46FA-999D-845D012F54CC}" type="presParOf" srcId="{9BEF7CDF-2CC2-40F6-976A-780B232C5990}" destId="{B68F837A-5B06-4042-AC48-5EBE835D59B5}" srcOrd="0" destOrd="0" presId="urn:microsoft.com/office/officeart/2005/8/layout/chevronAccent+Icon"/>
    <dgm:cxn modelId="{4A65BBCD-DA66-4C0E-B752-797A11FADC90}" type="presParOf" srcId="{9BEF7CDF-2CC2-40F6-976A-780B232C5990}" destId="{56BF3D58-521E-429C-99CF-AC7B4598CBC5}" srcOrd="1" destOrd="0" presId="urn:microsoft.com/office/officeart/2005/8/layout/chevronAccent+Icon"/>
  </dgm:cxnLst>
  <dgm:bg>
    <a:noFill/>
  </dgm:bg>
  <dgm:whole/>
  <dgm:extLst>
    <a:ext uri="http://schemas.microsoft.com/office/drawing/2008/diagram">
      <dsp:dataModelExt xmlns:dsp="http://schemas.microsoft.com/office/drawing/2008/diagram" relId="rId6"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35DB1CE2-96E7-408E-9447-DECD124CE25D}">
      <dsp:nvSpPr>
        <dsp:cNvPr id="0" name=""/>
        <dsp:cNvSpPr/>
      </dsp:nvSpPr>
      <dsp:spPr>
        <a:xfrm>
          <a:off x="6459" y="396094"/>
          <a:ext cx="3040069" cy="1173466"/>
        </a:xfrm>
        <a:prstGeom prst="chevron">
          <a:avLst>
            <a:gd name="adj" fmla="val 40000"/>
          </a:avLst>
        </a:prstGeom>
        <a:solidFill>
          <a:schemeClr val="accent6">
            <a:lumMod val="60000"/>
            <a:lumOff val="40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4FD47B26-9D3F-4E7E-842E-288CA6766BE7}">
      <dsp:nvSpPr>
        <dsp:cNvPr id="0" name=""/>
        <dsp:cNvSpPr/>
      </dsp:nvSpPr>
      <dsp:spPr>
        <a:xfrm>
          <a:off x="817144" y="689461"/>
          <a:ext cx="2567169" cy="1173466"/>
        </a:xfrm>
        <a:prstGeom prst="roundRect">
          <a:avLst>
            <a:gd name="adj" fmla="val 10000"/>
          </a:avLst>
        </a:prstGeom>
        <a:solidFill>
          <a:schemeClr val="bg1">
            <a:lumMod val="95000"/>
          </a:schemeClr>
        </a:solidFill>
        <a:ln w="57150" cap="flat" cmpd="sng" algn="ctr">
          <a:solidFill>
            <a:sysClr val="windowText" lastClr="000000"/>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28016" tIns="128016" rIns="128016" bIns="128016" numCol="1" spcCol="1270" anchor="ctr" anchorCtr="0">
          <a:noAutofit/>
        </a:bodyPr>
        <a:lstStyle/>
        <a:p>
          <a:pPr lvl="0" algn="ctr" defTabSz="800100">
            <a:lnSpc>
              <a:spcPct val="90000"/>
            </a:lnSpc>
            <a:spcBef>
              <a:spcPct val="0"/>
            </a:spcBef>
            <a:spcAft>
              <a:spcPct val="35000"/>
            </a:spcAft>
          </a:pPr>
          <a:r>
            <a:rPr lang="en-US" sz="1800" b="1" u="sng" kern="1200">
              <a:solidFill>
                <a:srgbClr val="00B0F0"/>
              </a:solidFill>
            </a:rPr>
            <a:t>User Guide</a:t>
          </a:r>
        </a:p>
      </dsp:txBody>
      <dsp:txXfrm>
        <a:off x="851514" y="723831"/>
        <a:ext cx="2498429" cy="1104726"/>
      </dsp:txXfrm>
    </dsp:sp>
    <dsp:sp modelId="{AEFA78CC-B4C4-463D-80F7-C865371CA246}">
      <dsp:nvSpPr>
        <dsp:cNvPr id="0" name=""/>
        <dsp:cNvSpPr/>
      </dsp:nvSpPr>
      <dsp:spPr>
        <a:xfrm>
          <a:off x="3478894" y="344092"/>
          <a:ext cx="3040069" cy="1173466"/>
        </a:xfrm>
        <a:prstGeom prst="chevron">
          <a:avLst>
            <a:gd name="adj" fmla="val 40000"/>
          </a:avLst>
        </a:prstGeom>
        <a:solidFill>
          <a:schemeClr val="accent6">
            <a:lumMod val="60000"/>
            <a:lumOff val="40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F68D1940-B02B-42E2-8DB9-A56C84D11EA3}">
      <dsp:nvSpPr>
        <dsp:cNvPr id="0" name=""/>
        <dsp:cNvSpPr/>
      </dsp:nvSpPr>
      <dsp:spPr>
        <a:xfrm>
          <a:off x="4289579" y="533454"/>
          <a:ext cx="2567169" cy="1381475"/>
        </a:xfrm>
        <a:prstGeom prst="roundRect">
          <a:avLst>
            <a:gd name="adj" fmla="val 10000"/>
          </a:avLst>
        </a:prstGeom>
        <a:solidFill>
          <a:schemeClr val="bg1">
            <a:lumMod val="95000"/>
          </a:schemeClr>
        </a:solidFill>
        <a:ln w="57150" cap="flat" cmpd="sng" algn="ctr">
          <a:solidFill>
            <a:sysClr val="windowText" lastClr="000000"/>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28016" tIns="128016" rIns="128016" bIns="128016" numCol="1" spcCol="1270" anchor="ctr" anchorCtr="0">
          <a:noAutofit/>
        </a:bodyPr>
        <a:lstStyle/>
        <a:p>
          <a:pPr lvl="0" algn="ctr" defTabSz="800100">
            <a:lnSpc>
              <a:spcPct val="90000"/>
            </a:lnSpc>
            <a:spcBef>
              <a:spcPct val="0"/>
            </a:spcBef>
            <a:spcAft>
              <a:spcPct val="35000"/>
            </a:spcAft>
          </a:pPr>
          <a:r>
            <a:rPr lang="en-US" sz="1800" b="1" u="sng" kern="1200">
              <a:solidFill>
                <a:srgbClr val="00B0F0"/>
              </a:solidFill>
            </a:rPr>
            <a:t>Training on Staffing Models, Approaches and Services Funding</a:t>
          </a:r>
        </a:p>
      </dsp:txBody>
      <dsp:txXfrm>
        <a:off x="4330041" y="573916"/>
        <a:ext cx="2486245" cy="1300551"/>
      </dsp:txXfrm>
    </dsp:sp>
    <dsp:sp modelId="{9E201946-602C-424C-92AC-0CF44F114D95}">
      <dsp:nvSpPr>
        <dsp:cNvPr id="0" name=""/>
        <dsp:cNvSpPr/>
      </dsp:nvSpPr>
      <dsp:spPr>
        <a:xfrm>
          <a:off x="6951328" y="396094"/>
          <a:ext cx="3040069" cy="1173466"/>
        </a:xfrm>
        <a:prstGeom prst="chevron">
          <a:avLst>
            <a:gd name="adj" fmla="val 40000"/>
          </a:avLst>
        </a:prstGeom>
        <a:solidFill>
          <a:schemeClr val="accent6">
            <a:lumMod val="60000"/>
            <a:lumOff val="40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DD1C91E8-1E17-47EB-A56B-A07C907FCAF1}">
      <dsp:nvSpPr>
        <dsp:cNvPr id="0" name=""/>
        <dsp:cNvSpPr/>
      </dsp:nvSpPr>
      <dsp:spPr>
        <a:xfrm>
          <a:off x="7762014" y="689461"/>
          <a:ext cx="2567169" cy="1173466"/>
        </a:xfrm>
        <a:prstGeom prst="roundRect">
          <a:avLst>
            <a:gd name="adj" fmla="val 10000"/>
          </a:avLst>
        </a:prstGeom>
        <a:solidFill>
          <a:schemeClr val="lt1">
            <a:alpha val="90000"/>
            <a:hueOff val="0"/>
            <a:satOff val="0"/>
            <a:lumOff val="0"/>
            <a:alphaOff val="0"/>
          </a:schemeClr>
        </a:solidFill>
        <a:ln w="57150" cap="flat" cmpd="sng" algn="ctr">
          <a:solidFill>
            <a:sysClr val="windowText" lastClr="000000"/>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28016" tIns="128016" rIns="128016" bIns="128016" numCol="1" spcCol="1270" anchor="ctr" anchorCtr="0">
          <a:noAutofit/>
        </a:bodyPr>
        <a:lstStyle/>
        <a:p>
          <a:pPr lvl="0" algn="ctr" defTabSz="800100">
            <a:lnSpc>
              <a:spcPct val="90000"/>
            </a:lnSpc>
            <a:spcBef>
              <a:spcPct val="0"/>
            </a:spcBef>
            <a:spcAft>
              <a:spcPct val="35000"/>
            </a:spcAft>
          </a:pPr>
          <a:r>
            <a:rPr lang="en-US" sz="1800" b="1" u="sng" kern="1200">
              <a:solidFill>
                <a:srgbClr val="00B0F0"/>
              </a:solidFill>
            </a:rPr>
            <a:t>References &amp; Resources</a:t>
          </a:r>
        </a:p>
      </dsp:txBody>
      <dsp:txXfrm>
        <a:off x="7796384" y="723831"/>
        <a:ext cx="2498429" cy="1104726"/>
      </dsp:txXfrm>
    </dsp:sp>
    <dsp:sp modelId="{B68F837A-5B06-4042-AC48-5EBE835D59B5}">
      <dsp:nvSpPr>
        <dsp:cNvPr id="0" name=""/>
        <dsp:cNvSpPr/>
      </dsp:nvSpPr>
      <dsp:spPr>
        <a:xfrm>
          <a:off x="10423763" y="396094"/>
          <a:ext cx="3040069" cy="1173466"/>
        </a:xfrm>
        <a:prstGeom prst="chevron">
          <a:avLst>
            <a:gd name="adj" fmla="val 40000"/>
          </a:avLst>
        </a:prstGeom>
        <a:solidFill>
          <a:schemeClr val="accent6">
            <a:lumMod val="60000"/>
            <a:lumOff val="40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56BF3D58-521E-429C-99CF-AC7B4598CBC5}">
      <dsp:nvSpPr>
        <dsp:cNvPr id="0" name=""/>
        <dsp:cNvSpPr/>
      </dsp:nvSpPr>
      <dsp:spPr>
        <a:xfrm>
          <a:off x="11234449" y="689461"/>
          <a:ext cx="2567169" cy="1173466"/>
        </a:xfrm>
        <a:prstGeom prst="roundRect">
          <a:avLst>
            <a:gd name="adj" fmla="val 10000"/>
          </a:avLst>
        </a:prstGeom>
        <a:solidFill>
          <a:schemeClr val="bg1">
            <a:lumMod val="95000"/>
          </a:schemeClr>
        </a:solidFill>
        <a:ln w="57150" cap="flat" cmpd="sng" algn="ctr">
          <a:solidFill>
            <a:sysClr val="windowText" lastClr="000000"/>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28016" tIns="128016" rIns="128016" bIns="128016" numCol="1" spcCol="1270" anchor="ctr" anchorCtr="0">
          <a:noAutofit/>
        </a:bodyPr>
        <a:lstStyle/>
        <a:p>
          <a:pPr lvl="0" algn="ctr" defTabSz="800100">
            <a:lnSpc>
              <a:spcPct val="90000"/>
            </a:lnSpc>
            <a:spcBef>
              <a:spcPct val="0"/>
            </a:spcBef>
            <a:spcAft>
              <a:spcPct val="35000"/>
            </a:spcAft>
          </a:pPr>
          <a:r>
            <a:rPr lang="en-US" sz="1800" b="1" u="sng" kern="1200">
              <a:solidFill>
                <a:srgbClr val="00B0F0"/>
              </a:solidFill>
            </a:rPr>
            <a:t>Contact  CSH for more assistance  </a:t>
          </a:r>
        </a:p>
      </dsp:txBody>
      <dsp:txXfrm>
        <a:off x="11268819" y="723831"/>
        <a:ext cx="2498429" cy="1104726"/>
      </dsp:txXfrm>
    </dsp:sp>
  </dsp:spTree>
</dsp:drawing>
</file>

<file path=xl/diagrams/layout1.xml><?xml version="1.0" encoding="utf-8"?>
<dgm:layoutDef xmlns:dgm="http://schemas.openxmlformats.org/drawingml/2006/diagram" xmlns:a="http://schemas.openxmlformats.org/drawingml/2006/main" uniqueId="urn:microsoft.com/office/officeart/2005/8/layout/chevronAccent+Icon">
  <dgm:title val="Chevron Accent Process"/>
  <dgm:desc val="Use to show sequential steps in a task, process, or workflow, or to emphasize movement or direction. Works best with minimal Level 1 and Level 2 text."/>
  <dgm:catLst>
    <dgm:cat type="process" pri="9500"/>
    <dgm:cat type="officeonline" pri="2000"/>
  </dgm:catLst>
  <dgm:sampData useDef="1">
    <dgm:dataModel>
      <dgm:ptLst/>
      <dgm:bg/>
      <dgm:whole/>
    </dgm:dataModel>
  </dgm:sampData>
  <dgm:styleData>
    <dgm:dataModel>
      <dgm:ptLst>
        <dgm:pt modelId="0" type="doc"/>
        <dgm:pt modelId="1"/>
        <dgm:pt modelId="2"/>
      </dgm:ptLst>
      <dgm:cxnLst>
        <dgm:cxn modelId="4" srcId="0" destId="1" srcOrd="0" destOrd="0"/>
        <dgm:cxn modelId="5"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onstrLst>
      <dgm:constr type="w" for="ch" forName="composite" refType="w"/>
      <dgm:constr type="primFontSz" for="des" forName="txNode" op="equ" val="65"/>
      <dgm:constr type="w" for="ch" forName="compositeSpace" refType="w" refFor="ch" refForName="composite" fact="0.028"/>
    </dgm:constrLst>
    <dgm:ruleLst/>
    <dgm:forEach name="Name4" axis="ch" ptType="node">
      <dgm:layoutNode name="composite">
        <dgm:alg type="composite"/>
        <dgm:shape xmlns:r="http://schemas.openxmlformats.org/officeDocument/2006/relationships" r:blip="">
          <dgm:adjLst/>
        </dgm:shape>
        <dgm:presOf/>
        <dgm:choose name="Name5">
          <dgm:if name="Name6" func="var" arg="dir" op="equ" val="norm">
            <dgm:constrLst>
              <dgm:constr type="l" for="ch" forName="bgChev"/>
              <dgm:constr type="w" for="ch" forName="bgChev" refType="w" fact="0.9"/>
              <dgm:constr type="t" for="ch" forName="bgChev"/>
              <dgm:constr type="h" for="ch" forName="bgChev" refType="w" refFor="ch" refForName="bgChev" fact="0.386"/>
              <dgm:constr type="l" for="ch" forName="txNode" refType="w" fact="0.24"/>
              <dgm:constr type="w" for="ch" forName="txNode" refType="w" fact="0.76"/>
              <dgm:constr type="t" for="ch" forName="txNode" refType="h" refFor="ch" refForName="bgChev" fact="0.25"/>
              <dgm:constr type="h" for="ch" forName="txNode" refType="h" refFor="ch" refForName="bgChev"/>
            </dgm:constrLst>
          </dgm:if>
          <dgm:else name="Name7">
            <dgm:constrLst>
              <dgm:constr type="l" for="ch" forName="bgChev" refType="w" fact="0.1"/>
              <dgm:constr type="w" for="ch" forName="bgChev" refType="w" fact="0.9"/>
              <dgm:constr type="t" for="ch" forName="bgChev"/>
              <dgm:constr type="h" for="ch" forName="bgChev" refType="w" refFor="ch" refForName="bgChev" fact="0.386"/>
              <dgm:constr type="l" for="ch" forName="txNode"/>
              <dgm:constr type="w" for="ch" forName="txNode" refType="w" fact="0.76"/>
              <dgm:constr type="t" for="ch" forName="txNode" refType="h" refFor="ch" refForName="bgChev" fact="0.25"/>
              <dgm:constr type="h" for="ch" forName="txNode" refType="h" refFor="ch" refForName="bgChev"/>
            </dgm:constrLst>
          </dgm:else>
        </dgm:choose>
        <dgm:ruleLst/>
        <dgm:layoutNode name="bgChev" styleLbl="node1">
          <dgm:alg type="sp"/>
          <dgm:choose name="Name8">
            <dgm:if name="Name9" func="var" arg="dir" op="equ" val="norm">
              <dgm:shape xmlns:r="http://schemas.openxmlformats.org/officeDocument/2006/relationships" type="chevron" r:blip="">
                <dgm:adjLst>
                  <dgm:adj idx="1" val="0.4"/>
                </dgm:adjLst>
              </dgm:shape>
            </dgm:if>
            <dgm:else name="Name10">
              <dgm:shape xmlns:r="http://schemas.openxmlformats.org/officeDocument/2006/relationships" rot="180" type="chevron" r:blip="">
                <dgm:adjLst>
                  <dgm:adj idx="1" val="0.4"/>
                </dgm:adjLst>
              </dgm:shape>
            </dgm:else>
          </dgm:choose>
          <dgm:presOf/>
          <dgm:constrLst/>
        </dgm:layoutNode>
        <dgm:layoutNode name="txNode" styleLbl="fgAcc1">
          <dgm:varLst>
            <dgm:bulletEnabled val="1"/>
          </dgm:varLst>
          <dgm:alg type="tx"/>
          <dgm:shape xmlns:r="http://schemas.openxmlformats.org/officeDocument/2006/relationships" type="roundRect" r:blip="">
            <dgm:adjLst>
              <dgm:adj idx="1" val="0.1"/>
            </dgm:adjLst>
          </dgm:shape>
          <dgm:presOf axis="desOrSelf" ptType="node"/>
          <dgm:ruleLst>
            <dgm:rule type="primFontSz" val="5" fact="NaN" max="NaN"/>
          </dgm:ruleLst>
        </dgm:layoutNode>
      </dgm:layoutNode>
      <dgm:forEach name="Name11" axis="followSib" ptType="sibTrans" cnt="1">
        <dgm:layoutNode name="compositeSpace">
          <dgm:alg type="sp"/>
          <dgm:shape xmlns:r="http://schemas.openxmlformats.org/officeDocument/2006/relationships" r:blip="">
            <dgm:adjLst/>
          </dgm:shape>
          <dgm:presOf axis="self"/>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Layout" Target="../diagrams/layout1.xml"/><Relationship Id="rId7" Type="http://schemas.openxmlformats.org/officeDocument/2006/relationships/image" Target="../media/image1.png"/><Relationship Id="rId2" Type="http://schemas.openxmlformats.org/officeDocument/2006/relationships/diagramData" Target="../diagrams/data1.xml"/><Relationship Id="rId6" Type="http://schemas.microsoft.com/office/2007/relationships/diagramDrawing" Target="../diagrams/drawing1.xml"/><Relationship Id="rId5" Type="http://schemas.openxmlformats.org/officeDocument/2006/relationships/diagramColors" Target="../diagrams/colors1.xml"/><Relationship Id="rId4" Type="http://schemas.openxmlformats.org/officeDocument/2006/relationships/diagramQuickStyle" Target="../diagrams/quickStyl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23812</xdr:colOff>
      <xdr:row>1</xdr:row>
      <xdr:rowOff>113772</xdr:rowOff>
    </xdr:from>
    <xdr:to>
      <xdr:col>3</xdr:col>
      <xdr:colOff>349250</xdr:colOff>
      <xdr:row>5</xdr:row>
      <xdr:rowOff>156633</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20662" y="310622"/>
          <a:ext cx="1608138" cy="779461"/>
        </a:xfrm>
        <a:prstGeom prst="rect">
          <a:avLst/>
        </a:prstGeom>
      </xdr:spPr>
    </xdr:pic>
    <xdr:clientData/>
  </xdr:twoCellAnchor>
  <xdr:twoCellAnchor>
    <xdr:from>
      <xdr:col>0</xdr:col>
      <xdr:colOff>21163</xdr:colOff>
      <xdr:row>9</xdr:row>
      <xdr:rowOff>519</xdr:rowOff>
    </xdr:from>
    <xdr:to>
      <xdr:col>22</xdr:col>
      <xdr:colOff>291041</xdr:colOff>
      <xdr:row>17</xdr:row>
      <xdr:rowOff>195792</xdr:rowOff>
    </xdr:to>
    <xdr:graphicFrame macro="">
      <xdr:nvGraphicFramePr>
        <xdr:cNvPr id="5" name="Diagram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151694</xdr:colOff>
      <xdr:row>1</xdr:row>
      <xdr:rowOff>67028</xdr:rowOff>
    </xdr:from>
    <xdr:to>
      <xdr:col>2</xdr:col>
      <xdr:colOff>1047750</xdr:colOff>
      <xdr:row>2</xdr:row>
      <xdr:rowOff>3099</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2194" y="268111"/>
          <a:ext cx="1086556" cy="54990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677333</xdr:colOff>
      <xdr:row>2</xdr:row>
      <xdr:rowOff>84666</xdr:rowOff>
    </xdr:to>
    <xdr:pic>
      <xdr:nvPicPr>
        <xdr:cNvPr id="3" name="Picture 2" descr="C:\Users\lauren.fulton\Downloads\CSH Logo Full Color (1).png">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83733" cy="478366"/>
        </a:xfrm>
        <a:prstGeom prst="rect">
          <a:avLst/>
        </a:prstGeom>
        <a:solidFill>
          <a:schemeClr val="bg1"/>
        </a:solid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63500</xdr:colOff>
      <xdr:row>0</xdr:row>
      <xdr:rowOff>74083</xdr:rowOff>
    </xdr:from>
    <xdr:to>
      <xdr:col>2</xdr:col>
      <xdr:colOff>931333</xdr:colOff>
      <xdr:row>2</xdr:row>
      <xdr:rowOff>158749</xdr:rowOff>
    </xdr:to>
    <xdr:pic>
      <xdr:nvPicPr>
        <xdr:cNvPr id="3" name="Picture 2" descr="C:\Users\lauren.fulton\Downloads\CSH Logo Full Color (1).png">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4000" y="74083"/>
          <a:ext cx="1058333" cy="486833"/>
        </a:xfrm>
        <a:prstGeom prst="rect">
          <a:avLst/>
        </a:prstGeom>
        <a:solidFill>
          <a:schemeClr val="bg1"/>
        </a:solid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84667</xdr:colOff>
      <xdr:row>1</xdr:row>
      <xdr:rowOff>74084</xdr:rowOff>
    </xdr:from>
    <xdr:to>
      <xdr:col>2</xdr:col>
      <xdr:colOff>762000</xdr:colOff>
      <xdr:row>2</xdr:row>
      <xdr:rowOff>359833</xdr:rowOff>
    </xdr:to>
    <xdr:pic>
      <xdr:nvPicPr>
        <xdr:cNvPr id="3" name="Picture 2" descr="C:\Users\lauren.fulton\Downloads\CSH Logo Full Color (1).png">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667" y="275167"/>
          <a:ext cx="1058333" cy="486833"/>
        </a:xfrm>
        <a:prstGeom prst="rect">
          <a:avLst/>
        </a:prstGeom>
        <a:solidFill>
          <a:schemeClr val="bg1"/>
        </a:solid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59971</xdr:colOff>
      <xdr:row>1</xdr:row>
      <xdr:rowOff>35278</xdr:rowOff>
    </xdr:from>
    <xdr:to>
      <xdr:col>2</xdr:col>
      <xdr:colOff>934860</xdr:colOff>
      <xdr:row>2</xdr:row>
      <xdr:rowOff>321027</xdr:rowOff>
    </xdr:to>
    <xdr:pic>
      <xdr:nvPicPr>
        <xdr:cNvPr id="3" name="Picture 2" descr="C:\Users\lauren.fulton\Downloads\CSH Logo Full Color (1).png">
          <a:extLst>
            <a:ext uri="{FF2B5EF4-FFF2-40B4-BE49-F238E27FC236}">
              <a16:creationId xmlns:a16="http://schemas.microsoft.com/office/drawing/2014/main" id="{00000000-0008-0000-05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7527" y="232834"/>
          <a:ext cx="1072444" cy="483304"/>
        </a:xfrm>
        <a:prstGeom prst="rect">
          <a:avLst/>
        </a:prstGeom>
        <a:solidFill>
          <a:schemeClr val="bg1"/>
        </a:solid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10583</xdr:colOff>
      <xdr:row>1</xdr:row>
      <xdr:rowOff>84667</xdr:rowOff>
    </xdr:from>
    <xdr:to>
      <xdr:col>2</xdr:col>
      <xdr:colOff>772583</xdr:colOff>
      <xdr:row>2</xdr:row>
      <xdr:rowOff>116416</xdr:rowOff>
    </xdr:to>
    <xdr:pic>
      <xdr:nvPicPr>
        <xdr:cNvPr id="4" name="Picture 3" descr="C:\Users\lauren.fulton\Downloads\CSH Logo Full Color (1).png">
          <a:extLst>
            <a:ext uri="{FF2B5EF4-FFF2-40B4-BE49-F238E27FC236}">
              <a16:creationId xmlns:a16="http://schemas.microsoft.com/office/drawing/2014/main" id="{00000000-0008-0000-06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1083" y="285750"/>
          <a:ext cx="952500" cy="486833"/>
        </a:xfrm>
        <a:prstGeom prst="rect">
          <a:avLst/>
        </a:prstGeom>
        <a:solidFill>
          <a:schemeClr val="bg1"/>
        </a:solid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139700</xdr:colOff>
      <xdr:row>1</xdr:row>
      <xdr:rowOff>82550</xdr:rowOff>
    </xdr:from>
    <xdr:to>
      <xdr:col>1</xdr:col>
      <xdr:colOff>947208</xdr:colOff>
      <xdr:row>2</xdr:row>
      <xdr:rowOff>370710</xdr:rowOff>
    </xdr:to>
    <xdr:pic>
      <xdr:nvPicPr>
        <xdr:cNvPr id="2" name="Picture 1" descr="C:\Users\lauren.fulton\Downloads\CSH Logo Full Color (1).png">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700" y="279400"/>
          <a:ext cx="1086908" cy="485010"/>
        </a:xfrm>
        <a:prstGeom prst="rect">
          <a:avLst/>
        </a:prstGeom>
        <a:solidFill>
          <a:schemeClr val="bg1"/>
        </a:solid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171450</xdr:colOff>
      <xdr:row>1</xdr:row>
      <xdr:rowOff>83619</xdr:rowOff>
    </xdr:from>
    <xdr:to>
      <xdr:col>1</xdr:col>
      <xdr:colOff>744008</xdr:colOff>
      <xdr:row>3</xdr:row>
      <xdr:rowOff>154065</xdr:rowOff>
    </xdr:to>
    <xdr:pic>
      <xdr:nvPicPr>
        <xdr:cNvPr id="3" name="Picture 2" descr="C:\Users\lauren.fulton\Downloads\CSH Logo Full Color (1).png">
          <a:extLst>
            <a:ext uri="{FF2B5EF4-FFF2-40B4-BE49-F238E27FC236}">
              <a16:creationId xmlns:a16="http://schemas.microsoft.com/office/drawing/2014/main" id="{00000000-0008-0000-08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285325"/>
          <a:ext cx="1054411" cy="473858"/>
        </a:xfrm>
        <a:prstGeom prst="rect">
          <a:avLst/>
        </a:prstGeom>
        <a:solidFill>
          <a:schemeClr val="bg1"/>
        </a:solidFill>
        <a:ln>
          <a:noFill/>
        </a:ln>
      </xdr:spPr>
    </xdr:pic>
    <xdr:clientData/>
  </xdr:twoCellAnchor>
  <xdr:twoCellAnchor editAs="oneCell">
    <xdr:from>
      <xdr:col>0</xdr:col>
      <xdr:colOff>171450</xdr:colOff>
      <xdr:row>1</xdr:row>
      <xdr:rowOff>83619</xdr:rowOff>
    </xdr:from>
    <xdr:to>
      <xdr:col>1</xdr:col>
      <xdr:colOff>744008</xdr:colOff>
      <xdr:row>3</xdr:row>
      <xdr:rowOff>154065</xdr:rowOff>
    </xdr:to>
    <xdr:pic>
      <xdr:nvPicPr>
        <xdr:cNvPr id="4" name="Picture 3" descr="C:\Users\lauren.fulton\Downloads\CSH Logo Full Color (1).pn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280469"/>
          <a:ext cx="1080558" cy="464146"/>
        </a:xfrm>
        <a:prstGeom prst="rect">
          <a:avLst/>
        </a:prstGeom>
        <a:solidFill>
          <a:schemeClr val="bg1"/>
        </a:solid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SH%20Internal/Field%20Offices/Central/MN/2021/Service%20Budget%20Tool%20Tailored/CSH%20Services%20Budget%20Tool%202.0_MN%20HSS%20tailored%20%202020-10%20TES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CSH%20Internal\Field%20Offices\Central\MN\2021\Service%20Budget%20Tool%20Tailored\CSH%20Services%20Budget%20Tool%202.0_MN%20HSS%20tailored%20%202020-10%20TE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About the Service BudgetTool"/>
      <sheetName val="2. Budget Summary Output"/>
      <sheetName val="3. Basic Input &amp; Assumptions"/>
      <sheetName val="4. ACT"/>
      <sheetName val="5. ICM"/>
      <sheetName val="6. Housing Stabilization Serv."/>
      <sheetName val="7. CTI"/>
      <sheetName val="8. General Start Up Cost"/>
      <sheetName val="9. New Medicaid Provider Costs"/>
    </sheetNames>
    <sheetDataSet>
      <sheetData sheetId="0"/>
      <sheetData sheetId="1">
        <row r="5">
          <cell r="F5">
            <v>25</v>
          </cell>
        </row>
      </sheetData>
      <sheetData sheetId="2">
        <row r="8">
          <cell r="D8" t="str">
            <v>Yes</v>
          </cell>
        </row>
      </sheetData>
      <sheetData sheetId="3"/>
      <sheetData sheetId="4"/>
      <sheetData sheetId="5"/>
      <sheetData sheetId="6"/>
      <sheetData sheetId="7"/>
      <sheetData sheetId="8">
        <row r="12">
          <cell r="F12">
            <v>65000</v>
          </cell>
          <cell r="G12">
            <v>1</v>
          </cell>
        </row>
        <row r="13">
          <cell r="F13">
            <v>45000</v>
          </cell>
          <cell r="G13">
            <v>1</v>
          </cell>
        </row>
        <row r="14">
          <cell r="F14">
            <v>48000</v>
          </cell>
          <cell r="G14">
            <v>1</v>
          </cell>
        </row>
        <row r="16">
          <cell r="F16">
            <v>20000</v>
          </cell>
          <cell r="G16">
            <v>1</v>
          </cell>
        </row>
        <row r="19">
          <cell r="F19">
            <v>1</v>
          </cell>
          <cell r="G19">
            <v>25</v>
          </cell>
        </row>
        <row r="21">
          <cell r="F21">
            <v>50</v>
          </cell>
          <cell r="G21">
            <v>25</v>
          </cell>
        </row>
        <row r="22">
          <cell r="F22">
            <v>50</v>
          </cell>
          <cell r="G22">
            <v>25</v>
          </cell>
        </row>
        <row r="23">
          <cell r="F23" t="str">
            <v>Reduction in productivity expectations for clinical supervisors training new clinical staff</v>
          </cell>
          <cell r="G23">
            <v>25</v>
          </cell>
        </row>
        <row r="29">
          <cell r="F29">
            <v>750</v>
          </cell>
          <cell r="G29">
            <v>1</v>
          </cell>
        </row>
        <row r="30">
          <cell r="F30">
            <v>1</v>
          </cell>
          <cell r="G30">
            <v>1</v>
          </cell>
        </row>
        <row r="31">
          <cell r="F31">
            <v>1</v>
          </cell>
          <cell r="G31">
            <v>1</v>
          </cell>
        </row>
        <row r="32">
          <cell r="F32">
            <v>1</v>
          </cell>
          <cell r="G32">
            <v>1</v>
          </cell>
        </row>
        <row r="33">
          <cell r="F33">
            <v>1</v>
          </cell>
          <cell r="G33">
            <v>1</v>
          </cell>
        </row>
        <row r="34">
          <cell r="F34">
            <v>300</v>
          </cell>
          <cell r="G34">
            <v>300</v>
          </cell>
        </row>
        <row r="36">
          <cell r="F36">
            <v>300</v>
          </cell>
          <cell r="G36">
            <v>300</v>
          </cell>
        </row>
        <row r="37">
          <cell r="F37">
            <v>750</v>
          </cell>
          <cell r="G37">
            <v>12</v>
          </cell>
        </row>
        <row r="38">
          <cell r="F38">
            <v>100000</v>
          </cell>
          <cell r="G38">
            <v>1</v>
          </cell>
        </row>
        <row r="40">
          <cell r="F40">
            <v>20</v>
          </cell>
          <cell r="G40">
            <v>20</v>
          </cell>
        </row>
        <row r="41">
          <cell r="F41">
            <v>300</v>
          </cell>
          <cell r="G41">
            <v>5</v>
          </cell>
        </row>
        <row r="42">
          <cell r="F42">
            <v>5</v>
          </cell>
          <cell r="G42">
            <v>5</v>
          </cell>
        </row>
        <row r="43">
          <cell r="F43">
            <v>5</v>
          </cell>
          <cell r="G43">
            <v>5</v>
          </cell>
        </row>
        <row r="45">
          <cell r="F45">
            <v>595</v>
          </cell>
          <cell r="G45">
            <v>1</v>
          </cell>
        </row>
        <row r="46">
          <cell r="F46">
            <v>8000</v>
          </cell>
          <cell r="G46">
            <v>1</v>
          </cell>
        </row>
        <row r="47">
          <cell r="F47">
            <v>1</v>
          </cell>
          <cell r="G47">
            <v>1</v>
          </cell>
        </row>
        <row r="48">
          <cell r="F48">
            <v>1</v>
          </cell>
          <cell r="G48">
            <v>1</v>
          </cell>
        </row>
        <row r="49">
          <cell r="F49">
            <v>1</v>
          </cell>
          <cell r="G49">
            <v>1</v>
          </cell>
        </row>
        <row r="50">
          <cell r="F50">
            <v>1</v>
          </cell>
          <cell r="G50">
            <v>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 Basic Input &amp; Assumptions"/>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C59:F72" totalsRowShown="0" headerRowDxfId="4">
  <tableColumns count="4">
    <tableColumn id="2" xr3:uid="{00000000-0010-0000-0000-000002000000}" name="Percent of Budget covered by Grant Funding " dataDxfId="3" dataCellStyle="Percent"/>
    <tableColumn id="3" xr3:uid="{00000000-0010-0000-0000-000003000000}" name="Percent of Budget covered by Medicaid Reimbursement" dataDxfId="2" dataCellStyle="Percent"/>
    <tableColumn id="4" xr3:uid="{00000000-0010-0000-0000-000004000000}" name="Anticipated Grant Funding" dataDxfId="1" dataCellStyle="Currency"/>
    <tableColumn id="5" xr3:uid="{00000000-0010-0000-0000-000005000000}" name="Anticipated Medicaid Reimbursement" dataDxfId="0" dataCellStyle="Currency">
      <calculatedColumnFormula>B58*Table1[[#This Row],[Percent of Budget covered by Medicaid Reimbursement]]</calculatedColumn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onsulting@csh.org?subject=CSH%20Services%20Budget%20Tool%20Question"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csh.org/resources/supportive-housing-services-budgeting-tool/"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cshcloud.egnyte.com/fl/S20gcmPiXu"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cshcloud.egnyte.com/fl/TV13BQ596i"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cshcloud.egnyte.com/fl/Xiwxxsp3q5"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hyperlink" Target="https://cshcloud.egnyte.com/fl/SJiq5sBbiw"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www.hhs.gov/hipaa/for-professionals/faq/index.html" TargetMode="External"/><Relationship Id="rId7" Type="http://schemas.openxmlformats.org/officeDocument/2006/relationships/table" Target="../tables/table1.xml"/><Relationship Id="rId2" Type="http://schemas.openxmlformats.org/officeDocument/2006/relationships/hyperlink" Target="https://www.google.com/nonprofits/offerings/apps-for-nonprofits/" TargetMode="External"/><Relationship Id="rId1" Type="http://schemas.openxmlformats.org/officeDocument/2006/relationships/hyperlink" Target="https://www.hhs.gov/hipaa/for-professionals/faq/2001/is-the-use-of-encryption-mandatory-in-the-security-rule/index.html" TargetMode="External"/><Relationship Id="rId6" Type="http://schemas.openxmlformats.org/officeDocument/2006/relationships/vmlDrawing" Target="../drawings/vmlDrawing1.vml"/><Relationship Id="rId5" Type="http://schemas.openxmlformats.org/officeDocument/2006/relationships/drawing" Target="../drawings/drawing9.xml"/><Relationship Id="rId4"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pageSetUpPr fitToPage="1"/>
  </sheetPr>
  <dimension ref="A1:Z31"/>
  <sheetViews>
    <sheetView showGridLines="0" tabSelected="1" topLeftCell="E10" zoomScaleNormal="100" workbookViewId="0">
      <selection activeCell="A20" sqref="A20"/>
    </sheetView>
  </sheetViews>
  <sheetFormatPr defaultColWidth="9.140625" defaultRowHeight="15.6"/>
  <cols>
    <col min="1" max="1" width="2.85546875" style="118" customWidth="1"/>
    <col min="2" max="28" width="9.140625" style="118"/>
    <col min="29" max="29" width="12" style="118" customWidth="1"/>
    <col min="30" max="16384" width="9.140625" style="118"/>
  </cols>
  <sheetData>
    <row r="1" spans="1:26" s="117" customFormat="1">
      <c r="A1" s="115"/>
      <c r="B1" s="116"/>
      <c r="C1" s="116"/>
    </row>
    <row r="8" spans="1:26">
      <c r="B8" s="123" t="s">
        <v>0</v>
      </c>
    </row>
    <row r="9" spans="1:26" ht="123.75" customHeight="1">
      <c r="B9" s="461" t="s">
        <v>1</v>
      </c>
      <c r="C9" s="461"/>
      <c r="D9" s="461"/>
      <c r="E9" s="461"/>
      <c r="F9" s="461"/>
      <c r="G9" s="461"/>
      <c r="H9" s="461"/>
      <c r="I9" s="461"/>
      <c r="J9" s="461"/>
      <c r="K9" s="461"/>
      <c r="L9" s="461"/>
      <c r="M9" s="461"/>
      <c r="N9" s="461"/>
      <c r="O9" s="461"/>
      <c r="P9" s="461"/>
      <c r="Q9" s="461"/>
      <c r="R9" s="461"/>
      <c r="S9" s="461"/>
      <c r="T9" s="461"/>
      <c r="U9" s="461"/>
      <c r="V9" s="461"/>
      <c r="W9" s="461"/>
      <c r="X9" s="461"/>
      <c r="Y9" s="461"/>
      <c r="Z9" s="461"/>
    </row>
    <row r="10" spans="1:26" ht="54.4" customHeight="1">
      <c r="B10" s="296" t="s">
        <v>2</v>
      </c>
      <c r="E10" s="297" t="s">
        <v>3</v>
      </c>
      <c r="G10" s="297"/>
    </row>
    <row r="12" spans="1:26">
      <c r="B12" s="298"/>
    </row>
    <row r="13" spans="1:26">
      <c r="B13" s="298"/>
    </row>
    <row r="14" spans="1:26">
      <c r="A14" s="118" t="s">
        <v>4</v>
      </c>
      <c r="B14" s="298"/>
    </row>
    <row r="18" spans="2:26">
      <c r="B18" s="298" t="s">
        <v>5</v>
      </c>
    </row>
    <row r="19" spans="2:26">
      <c r="B19" s="462" t="s">
        <v>6</v>
      </c>
      <c r="C19" s="462"/>
      <c r="D19" s="462"/>
      <c r="E19" s="462"/>
      <c r="F19" s="462"/>
      <c r="G19" s="462"/>
      <c r="H19" s="462"/>
      <c r="I19" s="462"/>
      <c r="J19" s="462"/>
      <c r="K19" s="462"/>
      <c r="L19" s="462"/>
      <c r="M19" s="462"/>
      <c r="N19" s="462"/>
      <c r="O19" s="462"/>
      <c r="P19" s="462"/>
      <c r="Q19" s="462"/>
      <c r="R19" s="462"/>
      <c r="S19" s="462"/>
      <c r="T19" s="462"/>
      <c r="U19" s="462"/>
      <c r="V19" s="462"/>
      <c r="W19" s="462"/>
      <c r="X19" s="462"/>
      <c r="Y19" s="462"/>
      <c r="Z19" s="462"/>
    </row>
    <row r="20" spans="2:26">
      <c r="B20" s="463" t="s">
        <v>7</v>
      </c>
      <c r="C20" s="463"/>
      <c r="D20" s="463"/>
      <c r="E20" s="463"/>
      <c r="F20" s="463"/>
      <c r="G20" s="463"/>
      <c r="H20" s="463"/>
      <c r="I20" s="463"/>
      <c r="J20" s="463"/>
      <c r="K20" s="463"/>
      <c r="L20" s="463"/>
      <c r="M20" s="463"/>
      <c r="N20" s="463"/>
      <c r="O20" s="463"/>
      <c r="P20" s="463"/>
      <c r="Q20" s="463"/>
      <c r="R20" s="463"/>
      <c r="S20" s="463"/>
      <c r="T20" s="463"/>
      <c r="U20" s="463"/>
      <c r="V20" s="463"/>
      <c r="W20" s="463"/>
      <c r="X20" s="463"/>
      <c r="Y20" s="463"/>
      <c r="Z20" s="463"/>
    </row>
    <row r="21" spans="2:26">
      <c r="B21" s="462" t="s">
        <v>8</v>
      </c>
      <c r="C21" s="462"/>
      <c r="D21" s="462"/>
      <c r="E21" s="462"/>
      <c r="F21" s="462"/>
      <c r="G21" s="462"/>
      <c r="H21" s="462"/>
      <c r="I21" s="462"/>
      <c r="J21" s="462"/>
      <c r="K21" s="462"/>
      <c r="L21" s="462"/>
      <c r="M21" s="462"/>
      <c r="N21" s="462"/>
      <c r="O21" s="462"/>
      <c r="P21" s="462"/>
      <c r="Q21" s="462"/>
      <c r="R21" s="462"/>
      <c r="S21" s="462"/>
      <c r="T21" s="462"/>
      <c r="U21" s="462"/>
      <c r="V21" s="462"/>
      <c r="W21" s="462"/>
      <c r="X21" s="462"/>
      <c r="Y21" s="462"/>
      <c r="Z21" s="462"/>
    </row>
    <row r="23" spans="2:26">
      <c r="B23" s="298" t="s">
        <v>9</v>
      </c>
    </row>
    <row r="24" spans="2:26">
      <c r="B24" s="465" t="s">
        <v>10</v>
      </c>
      <c r="C24" s="465"/>
      <c r="D24" s="465"/>
      <c r="E24" s="465"/>
      <c r="F24" s="465"/>
      <c r="G24" s="465"/>
      <c r="H24" s="465"/>
      <c r="I24" s="465"/>
      <c r="J24" s="465"/>
      <c r="K24" s="465"/>
      <c r="L24" s="465"/>
      <c r="M24" s="465"/>
      <c r="N24" s="465"/>
      <c r="O24" s="465"/>
      <c r="P24" s="299"/>
      <c r="Q24" s="299"/>
      <c r="R24" s="299"/>
      <c r="S24" s="299"/>
      <c r="T24" s="299"/>
    </row>
    <row r="25" spans="2:26">
      <c r="B25" s="300" t="s">
        <v>11</v>
      </c>
      <c r="C25" s="300"/>
      <c r="D25" s="300"/>
      <c r="E25" s="300"/>
      <c r="F25" s="300"/>
      <c r="G25" s="300"/>
      <c r="H25" s="300"/>
      <c r="I25" s="300"/>
      <c r="J25" s="300"/>
      <c r="K25" s="300"/>
      <c r="L25" s="300"/>
      <c r="M25" s="300"/>
      <c r="N25" s="300"/>
    </row>
    <row r="26" spans="2:26">
      <c r="B26" s="466" t="s">
        <v>12</v>
      </c>
      <c r="C26" s="467"/>
      <c r="D26" s="467"/>
      <c r="E26" s="467"/>
      <c r="F26" s="467"/>
      <c r="G26" s="467"/>
      <c r="H26" s="467"/>
      <c r="I26" s="467"/>
      <c r="J26" s="467"/>
      <c r="K26" s="467"/>
      <c r="L26" s="467"/>
      <c r="M26" s="467"/>
      <c r="N26" s="467"/>
      <c r="O26" s="467"/>
      <c r="P26" s="467"/>
      <c r="Q26" s="467"/>
      <c r="R26" s="467"/>
      <c r="S26" s="467"/>
      <c r="T26" s="467"/>
      <c r="U26" s="467"/>
      <c r="V26" s="467"/>
      <c r="W26" s="467"/>
      <c r="X26" s="467"/>
    </row>
    <row r="27" spans="2:26" ht="35.25" customHeight="1">
      <c r="B27" s="464" t="s">
        <v>13</v>
      </c>
      <c r="C27" s="464"/>
      <c r="D27" s="464"/>
      <c r="E27" s="464"/>
      <c r="F27" s="464"/>
      <c r="G27" s="464"/>
      <c r="H27" s="464"/>
      <c r="I27" s="464"/>
      <c r="J27" s="464"/>
      <c r="K27" s="464"/>
      <c r="L27" s="464"/>
      <c r="M27" s="464"/>
      <c r="N27" s="464"/>
      <c r="O27" s="464"/>
      <c r="P27" s="464"/>
      <c r="Q27" s="464"/>
      <c r="R27" s="464"/>
      <c r="S27" s="464"/>
      <c r="T27" s="464"/>
      <c r="U27" s="464"/>
      <c r="V27" s="464"/>
      <c r="W27" s="464"/>
      <c r="X27" s="464"/>
      <c r="Y27" s="464"/>
      <c r="Z27" s="464"/>
    </row>
    <row r="28" spans="2:26">
      <c r="B28" s="459" t="s">
        <v>14</v>
      </c>
      <c r="C28" s="459"/>
      <c r="D28" s="459"/>
      <c r="E28" s="301"/>
      <c r="F28" s="301"/>
      <c r="G28" s="301"/>
      <c r="H28" s="301"/>
      <c r="I28" s="301"/>
      <c r="J28" s="301"/>
      <c r="K28" s="301"/>
      <c r="L28" s="301"/>
      <c r="M28" s="301"/>
      <c r="N28" s="301"/>
      <c r="O28" s="301"/>
      <c r="P28" s="301"/>
      <c r="Q28" s="301"/>
      <c r="R28" s="301"/>
      <c r="S28" s="301"/>
      <c r="T28" s="301"/>
      <c r="U28" s="301"/>
      <c r="V28" s="301"/>
      <c r="W28" s="301"/>
      <c r="X28" s="301"/>
      <c r="Y28" s="301"/>
      <c r="Z28" s="301"/>
    </row>
    <row r="29" spans="2:26">
      <c r="B29" s="460" t="s">
        <v>15</v>
      </c>
      <c r="C29" s="460"/>
      <c r="D29" s="460"/>
      <c r="E29" s="460"/>
      <c r="F29" s="460"/>
      <c r="G29" s="460"/>
      <c r="H29" s="460"/>
      <c r="I29" s="460"/>
      <c r="J29" s="460"/>
      <c r="K29" s="460"/>
      <c r="L29" s="460"/>
      <c r="M29" s="460"/>
    </row>
    <row r="31" spans="2:26">
      <c r="B31" s="118" t="s">
        <v>16</v>
      </c>
    </row>
  </sheetData>
  <mergeCells count="9">
    <mergeCell ref="B28:D28"/>
    <mergeCell ref="B29:M29"/>
    <mergeCell ref="B9:Z9"/>
    <mergeCell ref="B19:Z19"/>
    <mergeCell ref="B20:Z20"/>
    <mergeCell ref="B21:Z21"/>
    <mergeCell ref="B27:Z27"/>
    <mergeCell ref="B24:O24"/>
    <mergeCell ref="B26:X26"/>
  </mergeCells>
  <hyperlinks>
    <hyperlink ref="B29:M29" r:id="rId1" display="Please direct all questions and concerns about the model structure to consulting@csh.org" xr:uid="{00000000-0004-0000-0000-000000000000}"/>
  </hyperlinks>
  <pageMargins left="0.7" right="0.7" top="0.75" bottom="0.75" header="0.3" footer="0.3"/>
  <pageSetup scale="84" fitToHeight="0" orientation="landscape" horizontalDpi="300" verticalDpi="3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B1:L20"/>
  <sheetViews>
    <sheetView showGridLines="0" zoomScale="90" zoomScaleNormal="90" workbookViewId="0">
      <selection activeCell="C5" sqref="C5:G5"/>
    </sheetView>
  </sheetViews>
  <sheetFormatPr defaultColWidth="9.140625" defaultRowHeight="15.6"/>
  <cols>
    <col min="1" max="2" width="2.85546875" style="118" customWidth="1"/>
    <col min="3" max="3" width="70.85546875" style="118" customWidth="1"/>
    <col min="4" max="4" width="25.42578125" style="118" customWidth="1"/>
    <col min="5" max="5" width="22" style="118" customWidth="1"/>
    <col min="6" max="6" width="22" style="124" customWidth="1"/>
    <col min="7" max="7" width="22" style="122" customWidth="1"/>
    <col min="8" max="8" width="23.42578125" style="118" customWidth="1"/>
    <col min="9" max="11" width="9.140625" style="118" customWidth="1"/>
    <col min="12" max="16384" width="9.140625" style="118"/>
  </cols>
  <sheetData>
    <row r="1" spans="2:12" s="117" customFormat="1">
      <c r="B1" s="115"/>
      <c r="C1" s="116"/>
      <c r="D1" s="116"/>
    </row>
    <row r="2" spans="2:12" ht="48" customHeight="1">
      <c r="C2" s="178" t="s">
        <v>17</v>
      </c>
      <c r="D2" s="179"/>
      <c r="E2" s="179"/>
      <c r="F2" s="180"/>
      <c r="G2" s="181"/>
      <c r="H2" s="182"/>
      <c r="I2" s="182"/>
      <c r="J2" s="182"/>
      <c r="K2" s="182"/>
      <c r="L2" s="199"/>
    </row>
    <row r="3" spans="2:12" ht="43.5" customHeight="1">
      <c r="C3" s="468" t="s">
        <v>18</v>
      </c>
      <c r="D3" s="468"/>
      <c r="E3" s="468"/>
      <c r="F3" s="468"/>
      <c r="G3" s="468"/>
      <c r="H3" s="182"/>
      <c r="I3" s="182"/>
      <c r="J3" s="182"/>
      <c r="K3" s="182"/>
      <c r="L3" s="199"/>
    </row>
    <row r="4" spans="2:12" ht="23.1" customHeight="1">
      <c r="C4" s="470" t="s">
        <v>19</v>
      </c>
      <c r="D4" s="470"/>
      <c r="E4" s="470"/>
      <c r="F4" s="470"/>
      <c r="G4" s="470"/>
      <c r="H4" s="182"/>
      <c r="I4" s="182"/>
      <c r="J4" s="182"/>
      <c r="K4" s="182"/>
      <c r="L4" s="199"/>
    </row>
    <row r="5" spans="2:12" ht="19.5" customHeight="1">
      <c r="C5" s="469" t="s">
        <v>20</v>
      </c>
      <c r="D5" s="469"/>
      <c r="E5" s="469"/>
      <c r="F5" s="469"/>
      <c r="G5" s="469"/>
      <c r="H5" s="182"/>
      <c r="I5" s="182"/>
      <c r="J5" s="182"/>
      <c r="K5" s="182"/>
      <c r="L5" s="199"/>
    </row>
    <row r="6" spans="2:12" ht="68.099999999999994" customHeight="1">
      <c r="C6" s="183" t="s">
        <v>21</v>
      </c>
      <c r="D6" s="184" t="s">
        <v>22</v>
      </c>
      <c r="E6" s="185" t="s">
        <v>23</v>
      </c>
      <c r="F6" s="185" t="s">
        <v>24</v>
      </c>
      <c r="G6" s="184" t="s">
        <v>25</v>
      </c>
      <c r="H6" s="182"/>
      <c r="I6" s="182"/>
      <c r="J6" s="182"/>
      <c r="K6" s="182"/>
      <c r="L6" s="199"/>
    </row>
    <row r="7" spans="2:12" ht="23.45">
      <c r="C7" s="186" t="s">
        <v>26</v>
      </c>
      <c r="D7" s="187"/>
      <c r="E7" s="187"/>
      <c r="F7" s="187">
        <f ca="1">ROUNDUP(SUM('4. Housing Support Serv.'!D20:'4. Housing Support Serv.'!D25),0)</f>
        <v>13</v>
      </c>
      <c r="G7" s="187"/>
      <c r="H7" s="182"/>
      <c r="I7" s="182"/>
      <c r="J7" s="182"/>
      <c r="K7" s="182"/>
      <c r="L7" s="199"/>
    </row>
    <row r="8" spans="2:12" ht="23.45">
      <c r="C8" s="186" t="s">
        <v>27</v>
      </c>
      <c r="D8" s="188"/>
      <c r="E8" s="188"/>
      <c r="F8" s="188">
        <f>'4. Housing Support Serv.'!J76</f>
        <v>939954.77124999999</v>
      </c>
      <c r="G8" s="188"/>
      <c r="H8" s="182"/>
      <c r="I8" s="182"/>
      <c r="J8" s="182"/>
      <c r="K8" s="182"/>
      <c r="L8" s="199"/>
    </row>
    <row r="9" spans="2:12" ht="23.45">
      <c r="C9" s="189" t="s">
        <v>28</v>
      </c>
      <c r="D9" s="188"/>
      <c r="E9" s="188"/>
      <c r="F9" s="188">
        <f>'4. Housing Support Serv.'!I76</f>
        <v>10350</v>
      </c>
      <c r="G9" s="188"/>
      <c r="H9" s="182"/>
      <c r="I9" s="182"/>
      <c r="J9" s="182"/>
      <c r="K9" s="182"/>
      <c r="L9" s="199"/>
    </row>
    <row r="10" spans="2:12" ht="23.45">
      <c r="C10" s="186" t="s">
        <v>29</v>
      </c>
      <c r="D10" s="190"/>
      <c r="E10" s="190"/>
      <c r="F10" s="190">
        <f>'4. Housing Support Serv.'!D14+'4. Housing Support Serv.'!F14</f>
        <v>90</v>
      </c>
      <c r="G10" s="190"/>
      <c r="H10" s="182"/>
      <c r="I10" s="182"/>
      <c r="J10" s="182"/>
      <c r="K10" s="182"/>
      <c r="L10" s="199"/>
    </row>
    <row r="11" spans="2:12" ht="36.950000000000003">
      <c r="C11" s="191" t="s">
        <v>30</v>
      </c>
      <c r="D11" s="192"/>
      <c r="E11" s="187"/>
      <c r="F11" s="187">
        <f>'4. Housing Support Serv.'!D36*('4. Housing Support Serv.'!D24+'4. Housing Support Serv.'!D25)</f>
        <v>35436.799999999996</v>
      </c>
      <c r="G11" s="192"/>
      <c r="H11" s="182"/>
      <c r="I11" s="182"/>
      <c r="J11" s="182"/>
      <c r="K11" s="182"/>
      <c r="L11" s="199"/>
    </row>
    <row r="12" spans="2:12" ht="23.45">
      <c r="C12" s="191" t="s">
        <v>31</v>
      </c>
      <c r="D12" s="193"/>
      <c r="E12" s="193"/>
      <c r="F12" s="193">
        <f>F8/F11</f>
        <v>26.524820843021946</v>
      </c>
      <c r="G12" s="193"/>
      <c r="H12" s="182"/>
      <c r="I12" s="182"/>
      <c r="J12" s="182"/>
      <c r="K12" s="182"/>
      <c r="L12" s="199"/>
    </row>
    <row r="13" spans="2:12" ht="23.45">
      <c r="C13" s="191" t="s">
        <v>32</v>
      </c>
      <c r="D13" s="193"/>
      <c r="E13" s="193"/>
      <c r="F13" s="193">
        <f>F8/F10/12</f>
        <v>870.32849189814817</v>
      </c>
      <c r="G13" s="193"/>
      <c r="H13" s="182"/>
      <c r="I13" s="182"/>
      <c r="J13" s="182"/>
      <c r="K13" s="182"/>
      <c r="L13" s="199"/>
    </row>
    <row r="14" spans="2:12" ht="23.45">
      <c r="C14" s="191" t="s">
        <v>33</v>
      </c>
      <c r="D14" s="193"/>
      <c r="E14" s="193"/>
      <c r="F14" s="193">
        <f>F8/F10</f>
        <v>10443.941902777779</v>
      </c>
      <c r="G14" s="193"/>
      <c r="H14" s="182"/>
      <c r="I14" s="182"/>
      <c r="J14" s="182"/>
      <c r="K14" s="182"/>
      <c r="L14" s="199"/>
    </row>
    <row r="15" spans="2:12" ht="23.45">
      <c r="C15" s="182"/>
      <c r="D15" s="194"/>
      <c r="E15" s="194"/>
      <c r="F15" s="195" t="s">
        <v>34</v>
      </c>
      <c r="G15" s="194"/>
      <c r="H15" s="182"/>
      <c r="I15" s="182"/>
      <c r="J15" s="182"/>
      <c r="K15" s="182"/>
      <c r="L15" s="199"/>
    </row>
    <row r="16" spans="2:12" ht="23.45">
      <c r="C16" s="196"/>
      <c r="D16" s="182"/>
      <c r="E16" s="182"/>
      <c r="F16" s="197"/>
      <c r="G16" s="181"/>
      <c r="H16" s="182"/>
      <c r="I16" s="182"/>
      <c r="J16" s="182"/>
      <c r="K16" s="182"/>
      <c r="L16" s="199"/>
    </row>
    <row r="17" spans="3:12" ht="41.25" customHeight="1">
      <c r="C17" s="468"/>
      <c r="D17" s="468"/>
      <c r="E17" s="468"/>
      <c r="F17" s="468"/>
      <c r="G17" s="468"/>
      <c r="H17" s="182"/>
      <c r="I17" s="182"/>
      <c r="J17" s="182"/>
      <c r="K17" s="182"/>
      <c r="L17" s="199"/>
    </row>
    <row r="18" spans="3:12" ht="45" customHeight="1">
      <c r="C18" s="468"/>
      <c r="D18" s="468"/>
      <c r="E18" s="468"/>
      <c r="F18" s="468"/>
      <c r="G18" s="468"/>
      <c r="H18" s="182"/>
      <c r="I18" s="182"/>
      <c r="J18" s="182"/>
      <c r="K18" s="182"/>
      <c r="L18" s="199"/>
    </row>
    <row r="19" spans="3:12" ht="45.95" customHeight="1">
      <c r="C19" s="468"/>
      <c r="D19" s="468"/>
      <c r="E19" s="468"/>
      <c r="F19" s="468"/>
      <c r="G19" s="468"/>
      <c r="H19" s="182"/>
      <c r="I19" s="182"/>
      <c r="J19" s="182"/>
      <c r="K19" s="182"/>
      <c r="L19" s="199"/>
    </row>
    <row r="20" spans="3:12" ht="23.45">
      <c r="C20" s="199"/>
      <c r="D20" s="199"/>
      <c r="E20" s="199"/>
      <c r="F20" s="200"/>
      <c r="G20" s="198"/>
      <c r="H20" s="199"/>
      <c r="I20" s="199"/>
      <c r="J20" s="199"/>
      <c r="K20" s="199"/>
      <c r="L20" s="199"/>
    </row>
  </sheetData>
  <mergeCells count="6">
    <mergeCell ref="C17:G17"/>
    <mergeCell ref="C18:G18"/>
    <mergeCell ref="C19:G19"/>
    <mergeCell ref="C3:G3"/>
    <mergeCell ref="C5:G5"/>
    <mergeCell ref="C4:G4"/>
  </mergeCells>
  <hyperlinks>
    <hyperlink ref="C5:G5" r:id="rId1" display=" https://www.csh.org/resources/supportive-housing-services-budgeting-tool/  " xr:uid="{00000000-0004-0000-0100-000000000000}"/>
  </hyperlinks>
  <pageMargins left="0.7" right="0.7" top="0.75" bottom="0.75" header="0.3" footer="0.3"/>
  <pageSetup orientation="portrait" r:id="rId2"/>
  <drawing r:id="rId3"/>
  <extLst>
    <ext xmlns:x14="http://schemas.microsoft.com/office/spreadsheetml/2009/9/main" uri="{78C0D931-6437-407d-A8EE-F0AAD7539E65}">
      <x14:conditionalFormattings>
        <x14:conditionalFormatting xmlns:xm="http://schemas.microsoft.com/office/excel/2006/main">
          <x14:cfRule type="expression" priority="12" id="{A47AA453-F77A-4BDC-8B33-6A66D4A0AF92}">
            <xm:f>'3. Basic Input &amp; Assumptions'!$D$11="No"</xm:f>
            <x14:dxf>
              <font>
                <color theme="9" tint="0.59996337778862885"/>
              </font>
            </x14:dxf>
          </x14:cfRule>
          <xm:sqref>F7:F14</xm:sqref>
        </x14:conditionalFormatting>
        <x14:conditionalFormatting xmlns:xm="http://schemas.microsoft.com/office/excel/2006/main">
          <x14:cfRule type="expression" priority="28" id="{8AC9F022-E1D2-4294-B642-E6C33F1C14CB}">
            <xm:f>'3. Basic Input &amp; Assumptions'!#REF!="No"</xm:f>
            <x14:dxf>
              <font>
                <color theme="9" tint="0.59996337778862885"/>
              </font>
            </x14:dxf>
          </x14:cfRule>
          <xm:sqref>D7:D14</xm:sqref>
        </x14:conditionalFormatting>
        <x14:conditionalFormatting xmlns:xm="http://schemas.microsoft.com/office/excel/2006/main">
          <x14:cfRule type="expression" priority="29" id="{5826C6DA-4A62-410F-8E42-E32E26605AE3}">
            <xm:f>'3. Basic Input &amp; Assumptions'!#REF!="No"</xm:f>
            <x14:dxf>
              <font>
                <color theme="9" tint="0.59996337778862885"/>
              </font>
            </x14:dxf>
          </x14:cfRule>
          <xm:sqref>E7:E14 G7:G14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B1:L93"/>
  <sheetViews>
    <sheetView showGridLines="0" zoomScaleNormal="100" workbookViewId="0">
      <selection activeCell="D1" sqref="D1"/>
    </sheetView>
  </sheetViews>
  <sheetFormatPr defaultColWidth="9.140625" defaultRowHeight="15.6"/>
  <cols>
    <col min="1" max="2" width="2.85546875" style="118" customWidth="1"/>
    <col min="3" max="3" width="72.140625" style="118" customWidth="1"/>
    <col min="4" max="4" width="25.42578125" style="118" customWidth="1"/>
    <col min="5" max="5" width="21.85546875" style="118" customWidth="1"/>
    <col min="6" max="6" width="19.140625" style="124" customWidth="1"/>
    <col min="7" max="7" width="11.5703125" style="122" customWidth="1"/>
    <col min="8" max="8" width="10.5703125" style="287" customWidth="1"/>
    <col min="9" max="9" width="20.85546875" style="118" customWidth="1"/>
    <col min="10" max="10" width="25.140625" style="118" customWidth="1"/>
    <col min="11" max="11" width="9.140625" style="118" customWidth="1"/>
    <col min="12" max="12" width="24.42578125" style="118" customWidth="1"/>
    <col min="13" max="13" width="21.5703125" style="118" customWidth="1"/>
    <col min="14" max="14" width="17" style="118" customWidth="1"/>
    <col min="15" max="15" width="19.5703125" style="118" customWidth="1"/>
    <col min="16" max="16384" width="9.140625" style="118"/>
  </cols>
  <sheetData>
    <row r="1" spans="2:12" s="117" customFormat="1">
      <c r="B1" s="115"/>
      <c r="C1" s="116"/>
      <c r="D1" s="116"/>
      <c r="H1" s="286"/>
    </row>
    <row r="2" spans="2:12">
      <c r="C2" s="119" t="s">
        <v>35</v>
      </c>
      <c r="D2" s="120"/>
      <c r="E2" s="120"/>
      <c r="F2" s="121"/>
    </row>
    <row r="4" spans="2:12" s="415" customFormat="1" ht="42.75" customHeight="1">
      <c r="C4" s="464" t="s">
        <v>36</v>
      </c>
      <c r="D4" s="464"/>
      <c r="E4" s="464"/>
      <c r="F4" s="464"/>
      <c r="G4" s="464"/>
      <c r="H4" s="464"/>
      <c r="I4" s="464"/>
    </row>
    <row r="5" spans="2:12">
      <c r="C5" s="123" t="s">
        <v>37</v>
      </c>
    </row>
    <row r="6" spans="2:12" ht="30.95">
      <c r="C6" s="291" t="s">
        <v>38</v>
      </c>
      <c r="D6" s="126" t="s">
        <v>39</v>
      </c>
      <c r="E6" s="290">
        <f>IF(D6="No",1,0)</f>
        <v>0</v>
      </c>
      <c r="G6" s="124"/>
      <c r="H6" s="288"/>
    </row>
    <row r="7" spans="2:12">
      <c r="C7" s="125" t="s">
        <v>40</v>
      </c>
      <c r="D7" s="126" t="s">
        <v>39</v>
      </c>
      <c r="E7" s="488" t="s">
        <v>41</v>
      </c>
      <c r="F7" s="489"/>
      <c r="G7" s="124"/>
      <c r="H7" s="288"/>
    </row>
    <row r="8" spans="2:12">
      <c r="C8" s="125" t="s">
        <v>42</v>
      </c>
      <c r="D8" s="126" t="s">
        <v>39</v>
      </c>
      <c r="E8" s="488" t="s">
        <v>43</v>
      </c>
      <c r="F8" s="489"/>
      <c r="G8" s="124"/>
      <c r="H8" s="288"/>
    </row>
    <row r="9" spans="2:12">
      <c r="G9" s="124"/>
      <c r="H9" s="288"/>
    </row>
    <row r="10" spans="2:12">
      <c r="C10" s="123" t="s">
        <v>44</v>
      </c>
      <c r="E10" s="123" t="s">
        <v>45</v>
      </c>
      <c r="G10" s="123" t="s">
        <v>46</v>
      </c>
      <c r="H10" s="124"/>
    </row>
    <row r="11" spans="2:12" ht="30.95">
      <c r="C11" s="127" t="s">
        <v>47</v>
      </c>
      <c r="D11" s="126" t="s">
        <v>39</v>
      </c>
      <c r="E11" s="486" t="s">
        <v>48</v>
      </c>
      <c r="F11" s="487"/>
      <c r="G11" s="489" t="s">
        <v>49</v>
      </c>
      <c r="H11" s="489"/>
      <c r="I11" s="489"/>
    </row>
    <row r="12" spans="2:12" ht="30.95">
      <c r="B12" s="137" t="s">
        <v>50</v>
      </c>
      <c r="C12" s="137"/>
      <c r="D12" s="138"/>
      <c r="E12" s="138"/>
      <c r="F12" s="139"/>
      <c r="G12" s="140"/>
      <c r="H12" s="289" t="s">
        <v>51</v>
      </c>
      <c r="L12" s="141"/>
    </row>
    <row r="13" spans="2:12">
      <c r="C13" s="537" t="s">
        <v>52</v>
      </c>
      <c r="D13" s="537"/>
      <c r="E13" s="537"/>
      <c r="F13" s="537"/>
      <c r="G13" s="537"/>
      <c r="H13" s="283">
        <v>0.15</v>
      </c>
    </row>
    <row r="14" spans="2:12">
      <c r="C14" s="482" t="s">
        <v>53</v>
      </c>
      <c r="D14" s="482"/>
      <c r="E14" s="482"/>
      <c r="F14" s="482"/>
      <c r="G14" s="482"/>
      <c r="H14" s="284">
        <v>20</v>
      </c>
    </row>
    <row r="15" spans="2:12">
      <c r="C15" s="485" t="s">
        <v>54</v>
      </c>
      <c r="D15" s="485"/>
      <c r="E15" s="485"/>
      <c r="F15" s="485"/>
      <c r="G15" s="485"/>
      <c r="H15" s="284">
        <v>5</v>
      </c>
    </row>
    <row r="16" spans="2:12">
      <c r="C16" s="473" t="s">
        <v>55</v>
      </c>
      <c r="D16" s="473"/>
      <c r="E16" s="473"/>
      <c r="F16" s="473"/>
      <c r="G16" s="473"/>
      <c r="H16" s="435">
        <v>0.57499999999999996</v>
      </c>
    </row>
    <row r="17" spans="2:9">
      <c r="C17" s="484" t="s">
        <v>56</v>
      </c>
      <c r="D17" s="484"/>
      <c r="E17" s="484"/>
      <c r="F17" s="484"/>
      <c r="G17" s="484"/>
      <c r="H17" s="285">
        <v>2.5000000000000001E-2</v>
      </c>
    </row>
    <row r="18" spans="2:9">
      <c r="C18" s="483" t="s">
        <v>57</v>
      </c>
      <c r="D18" s="483"/>
      <c r="E18" s="483"/>
      <c r="F18" s="483"/>
      <c r="G18" s="483"/>
      <c r="H18" s="285">
        <v>1.4999999999999999E-2</v>
      </c>
    </row>
    <row r="19" spans="2:9">
      <c r="C19" s="476" t="s">
        <v>58</v>
      </c>
      <c r="D19" s="477"/>
      <c r="E19" s="477"/>
      <c r="F19" s="477"/>
      <c r="G19" s="478"/>
      <c r="H19" s="340">
        <v>0.28260000000000002</v>
      </c>
    </row>
    <row r="21" spans="2:9">
      <c r="B21" s="137" t="s">
        <v>59</v>
      </c>
      <c r="C21" s="137"/>
      <c r="D21" s="138"/>
      <c r="E21" s="138"/>
      <c r="F21" s="139"/>
      <c r="G21" s="140"/>
      <c r="I21" s="142"/>
    </row>
    <row r="22" spans="2:9" hidden="1">
      <c r="C22" s="145" t="s">
        <v>60</v>
      </c>
      <c r="D22" s="146" t="s">
        <v>61</v>
      </c>
      <c r="E22" s="146" t="s">
        <v>62</v>
      </c>
      <c r="F22" s="146" t="s">
        <v>63</v>
      </c>
      <c r="G22" s="118"/>
    </row>
    <row r="23" spans="2:9" ht="62.1" hidden="1">
      <c r="C23" s="371" t="s">
        <v>64</v>
      </c>
      <c r="D23" s="177">
        <v>10</v>
      </c>
      <c r="E23" s="177">
        <v>10</v>
      </c>
      <c r="F23" s="177">
        <v>10</v>
      </c>
      <c r="G23" s="118"/>
    </row>
    <row r="24" spans="2:9" hidden="1">
      <c r="F24" s="118"/>
      <c r="G24" s="118"/>
    </row>
    <row r="25" spans="2:9" hidden="1">
      <c r="C25" s="118" t="s">
        <v>65</v>
      </c>
      <c r="F25" s="118"/>
      <c r="G25" s="118"/>
    </row>
    <row r="26" spans="2:9" hidden="1">
      <c r="C26" s="145" t="s">
        <v>66</v>
      </c>
      <c r="D26" s="146" t="s">
        <v>61</v>
      </c>
      <c r="E26" s="146" t="s">
        <v>62</v>
      </c>
      <c r="F26" s="146" t="s">
        <v>63</v>
      </c>
      <c r="G26" s="118"/>
    </row>
    <row r="27" spans="2:9" hidden="1">
      <c r="C27" s="147" t="s">
        <v>67</v>
      </c>
      <c r="D27" s="171">
        <v>10</v>
      </c>
      <c r="E27" s="172">
        <v>15</v>
      </c>
      <c r="F27" s="172">
        <v>20</v>
      </c>
      <c r="G27" s="118"/>
    </row>
    <row r="28" spans="2:9" hidden="1">
      <c r="C28" s="148" t="s">
        <v>68</v>
      </c>
      <c r="D28" s="173">
        <v>10</v>
      </c>
      <c r="E28" s="174">
        <v>15</v>
      </c>
      <c r="F28" s="174">
        <v>15</v>
      </c>
      <c r="G28" s="118"/>
    </row>
    <row r="29" spans="2:9" hidden="1">
      <c r="C29" s="148" t="s">
        <v>69</v>
      </c>
      <c r="D29" s="173">
        <v>10</v>
      </c>
      <c r="E29" s="174">
        <v>10</v>
      </c>
      <c r="F29" s="174">
        <v>15</v>
      </c>
      <c r="G29" s="118"/>
    </row>
    <row r="30" spans="2:9" hidden="1">
      <c r="C30" s="148" t="s">
        <v>70</v>
      </c>
      <c r="D30" s="173">
        <v>10</v>
      </c>
      <c r="E30" s="174">
        <v>10</v>
      </c>
      <c r="F30" s="174">
        <v>10</v>
      </c>
      <c r="G30" s="118"/>
    </row>
    <row r="31" spans="2:9" hidden="1">
      <c r="C31" s="148" t="s">
        <v>71</v>
      </c>
      <c r="D31" s="173">
        <v>10</v>
      </c>
      <c r="E31" s="174">
        <v>15</v>
      </c>
      <c r="F31" s="174">
        <v>15</v>
      </c>
      <c r="G31" s="118"/>
    </row>
    <row r="32" spans="2:9" hidden="1">
      <c r="C32" s="149" t="s">
        <v>72</v>
      </c>
      <c r="D32" s="175">
        <v>10</v>
      </c>
      <c r="E32" s="176">
        <v>15</v>
      </c>
      <c r="F32" s="176">
        <v>20</v>
      </c>
      <c r="G32" s="118"/>
    </row>
    <row r="33" spans="3:11">
      <c r="F33" s="118"/>
      <c r="G33" s="118"/>
    </row>
    <row r="34" spans="3:11">
      <c r="C34" s="118" t="s">
        <v>73</v>
      </c>
      <c r="F34" s="118"/>
      <c r="G34" s="118"/>
    </row>
    <row r="35" spans="3:11">
      <c r="C35" s="145" t="s">
        <v>66</v>
      </c>
      <c r="D35" s="146" t="s">
        <v>61</v>
      </c>
      <c r="E35" s="146" t="s">
        <v>62</v>
      </c>
      <c r="F35" s="146" t="s">
        <v>63</v>
      </c>
      <c r="G35" s="118"/>
    </row>
    <row r="36" spans="3:11">
      <c r="C36" s="147" t="s">
        <v>67</v>
      </c>
      <c r="D36" s="171">
        <v>15</v>
      </c>
      <c r="E36" s="172">
        <v>20</v>
      </c>
      <c r="F36" s="172">
        <v>20</v>
      </c>
      <c r="G36" s="118"/>
    </row>
    <row r="37" spans="3:11">
      <c r="C37" s="148" t="s">
        <v>68</v>
      </c>
      <c r="D37" s="173"/>
      <c r="E37" s="174"/>
      <c r="F37" s="174"/>
      <c r="G37" s="118"/>
    </row>
    <row r="38" spans="3:11">
      <c r="C38" s="148" t="s">
        <v>69</v>
      </c>
      <c r="D38" s="173">
        <v>10</v>
      </c>
      <c r="E38" s="174">
        <v>10</v>
      </c>
      <c r="F38" s="174">
        <v>15</v>
      </c>
      <c r="G38" s="118"/>
    </row>
    <row r="39" spans="3:11">
      <c r="C39" s="148" t="s">
        <v>70</v>
      </c>
      <c r="D39" s="173"/>
      <c r="E39" s="174"/>
      <c r="F39" s="174"/>
      <c r="G39" s="118"/>
    </row>
    <row r="40" spans="3:11">
      <c r="C40" s="148" t="s">
        <v>71</v>
      </c>
      <c r="D40" s="173">
        <v>10</v>
      </c>
      <c r="E40" s="174">
        <v>15</v>
      </c>
      <c r="F40" s="174">
        <v>15</v>
      </c>
      <c r="G40" s="118"/>
    </row>
    <row r="41" spans="3:11">
      <c r="C41" s="149" t="s">
        <v>72</v>
      </c>
      <c r="D41" s="175"/>
      <c r="E41" s="176"/>
      <c r="F41" s="176"/>
      <c r="G41" s="118"/>
    </row>
    <row r="42" spans="3:11">
      <c r="F42" s="118"/>
      <c r="G42" s="118"/>
      <c r="I42" s="124"/>
      <c r="J42" s="124"/>
    </row>
    <row r="43" spans="3:11" hidden="1">
      <c r="C43" s="118" t="s">
        <v>74</v>
      </c>
      <c r="F43" s="118"/>
      <c r="G43" s="118"/>
    </row>
    <row r="44" spans="3:11" hidden="1">
      <c r="C44" s="145" t="s">
        <v>66</v>
      </c>
      <c r="D44" s="146" t="s">
        <v>61</v>
      </c>
      <c r="E44" s="146" t="s">
        <v>62</v>
      </c>
      <c r="F44" s="146" t="s">
        <v>75</v>
      </c>
      <c r="G44" s="118"/>
      <c r="J44" s="143"/>
      <c r="K44" s="143"/>
    </row>
    <row r="45" spans="3:11" hidden="1">
      <c r="C45" s="147" t="s">
        <v>67</v>
      </c>
      <c r="D45" s="171">
        <v>20</v>
      </c>
      <c r="E45" s="172">
        <v>20</v>
      </c>
      <c r="F45" s="172">
        <v>20</v>
      </c>
      <c r="G45" s="118"/>
    </row>
    <row r="46" spans="3:11" hidden="1">
      <c r="C46" s="148" t="s">
        <v>68</v>
      </c>
      <c r="D46" s="173">
        <v>12</v>
      </c>
      <c r="E46" s="174">
        <v>12</v>
      </c>
      <c r="F46" s="174">
        <v>12</v>
      </c>
      <c r="G46" s="118"/>
    </row>
    <row r="47" spans="3:11" hidden="1">
      <c r="C47" s="149" t="s">
        <v>72</v>
      </c>
      <c r="D47" s="175">
        <v>15</v>
      </c>
      <c r="E47" s="176">
        <v>15</v>
      </c>
      <c r="F47" s="176">
        <v>15</v>
      </c>
      <c r="G47" s="118"/>
    </row>
    <row r="48" spans="3:11" hidden="1">
      <c r="C48" s="143"/>
      <c r="D48" s="173"/>
      <c r="E48" s="281"/>
      <c r="F48" s="281"/>
      <c r="G48" s="118"/>
    </row>
    <row r="49" spans="3:10">
      <c r="C49" s="118" t="s">
        <v>76</v>
      </c>
      <c r="D49" s="146" t="s">
        <v>77</v>
      </c>
      <c r="F49" s="118"/>
      <c r="G49" s="118"/>
      <c r="I49" s="124"/>
      <c r="J49" s="124"/>
    </row>
    <row r="50" spans="3:10">
      <c r="C50" s="145" t="s">
        <v>78</v>
      </c>
      <c r="D50" s="177">
        <v>8</v>
      </c>
      <c r="F50" s="118"/>
      <c r="G50" s="118"/>
      <c r="I50" s="124"/>
      <c r="J50" s="124"/>
    </row>
    <row r="51" spans="3:10">
      <c r="F51" s="118"/>
      <c r="G51" s="118"/>
    </row>
    <row r="52" spans="3:10">
      <c r="C52" s="123" t="s">
        <v>79</v>
      </c>
      <c r="D52" s="144"/>
      <c r="F52" s="118"/>
      <c r="G52" s="118"/>
    </row>
    <row r="53" spans="3:10">
      <c r="C53" s="431"/>
      <c r="D53" s="145"/>
      <c r="E53" s="145"/>
      <c r="F53" s="432"/>
      <c r="G53" s="433"/>
    </row>
    <row r="54" spans="3:10">
      <c r="C54" s="479" t="s">
        <v>80</v>
      </c>
      <c r="D54" s="480"/>
      <c r="E54" s="480"/>
      <c r="F54" s="480"/>
      <c r="G54" s="481"/>
    </row>
    <row r="55" spans="3:10" ht="30.6" customHeight="1">
      <c r="C55" s="475" t="s">
        <v>81</v>
      </c>
      <c r="D55" s="475"/>
      <c r="E55" s="475"/>
      <c r="F55" s="475"/>
      <c r="G55" s="475"/>
    </row>
    <row r="56" spans="3:10">
      <c r="C56" s="472" t="s">
        <v>82</v>
      </c>
      <c r="D56" s="472"/>
      <c r="E56" s="472"/>
      <c r="F56" s="472"/>
      <c r="G56" s="472"/>
    </row>
    <row r="57" spans="3:10" hidden="1">
      <c r="C57" s="475" t="s">
        <v>83</v>
      </c>
      <c r="D57" s="475"/>
      <c r="E57" s="475"/>
      <c r="F57" s="475"/>
      <c r="G57" s="475"/>
    </row>
    <row r="58" spans="3:10" ht="32.450000000000003" customHeight="1">
      <c r="C58" s="472" t="s">
        <v>84</v>
      </c>
      <c r="D58" s="472"/>
      <c r="E58" s="472"/>
      <c r="F58" s="472"/>
      <c r="G58" s="472"/>
    </row>
    <row r="59" spans="3:10">
      <c r="C59" s="474" t="s">
        <v>85</v>
      </c>
      <c r="D59" s="474"/>
      <c r="E59" s="474"/>
      <c r="F59" s="474"/>
      <c r="G59" s="474"/>
    </row>
    <row r="60" spans="3:10" ht="29.1" customHeight="1">
      <c r="C60" s="472" t="s">
        <v>86</v>
      </c>
      <c r="D60" s="472"/>
      <c r="E60" s="472"/>
      <c r="F60" s="472"/>
      <c r="G60" s="472"/>
    </row>
    <row r="61" spans="3:10">
      <c r="C61" s="471" t="s">
        <v>87</v>
      </c>
      <c r="D61" s="471"/>
      <c r="E61" s="471"/>
      <c r="F61" s="471"/>
      <c r="G61" s="471"/>
    </row>
    <row r="62" spans="3:10">
      <c r="F62" s="118"/>
      <c r="G62" s="118"/>
    </row>
    <row r="63" spans="3:10">
      <c r="F63" s="118"/>
      <c r="G63" s="118"/>
    </row>
    <row r="64" spans="3:10">
      <c r="F64" s="118"/>
      <c r="G64" s="118"/>
    </row>
    <row r="65" spans="6:7">
      <c r="F65" s="118"/>
      <c r="G65" s="118"/>
    </row>
    <row r="66" spans="6:7">
      <c r="F66" s="118"/>
      <c r="G66" s="118"/>
    </row>
    <row r="67" spans="6:7">
      <c r="F67" s="118"/>
      <c r="G67" s="118"/>
    </row>
    <row r="68" spans="6:7">
      <c r="F68" s="118"/>
      <c r="G68" s="118"/>
    </row>
    <row r="69" spans="6:7">
      <c r="F69" s="118"/>
      <c r="G69" s="118"/>
    </row>
    <row r="70" spans="6:7">
      <c r="F70" s="118"/>
      <c r="G70" s="118"/>
    </row>
    <row r="71" spans="6:7">
      <c r="F71" s="118"/>
      <c r="G71" s="118"/>
    </row>
    <row r="72" spans="6:7">
      <c r="F72" s="118"/>
      <c r="G72" s="118"/>
    </row>
    <row r="73" spans="6:7">
      <c r="F73" s="118"/>
      <c r="G73" s="118"/>
    </row>
    <row r="74" spans="6:7">
      <c r="F74" s="118"/>
      <c r="G74" s="118"/>
    </row>
    <row r="75" spans="6:7">
      <c r="F75" s="118"/>
      <c r="G75" s="118"/>
    </row>
    <row r="76" spans="6:7">
      <c r="F76" s="118"/>
      <c r="G76" s="118"/>
    </row>
    <row r="77" spans="6:7">
      <c r="F77" s="118"/>
      <c r="G77" s="118"/>
    </row>
    <row r="78" spans="6:7">
      <c r="F78" s="118"/>
      <c r="G78" s="118"/>
    </row>
    <row r="79" spans="6:7">
      <c r="F79" s="118"/>
      <c r="G79" s="118"/>
    </row>
    <row r="80" spans="6:7">
      <c r="F80" s="118"/>
      <c r="G80" s="118"/>
    </row>
    <row r="81" spans="6:7">
      <c r="F81" s="118"/>
      <c r="G81" s="118"/>
    </row>
    <row r="82" spans="6:7">
      <c r="F82" s="118"/>
      <c r="G82" s="118"/>
    </row>
    <row r="83" spans="6:7">
      <c r="F83" s="118"/>
      <c r="G83" s="118"/>
    </row>
    <row r="84" spans="6:7">
      <c r="F84" s="118"/>
      <c r="G84" s="118"/>
    </row>
    <row r="85" spans="6:7">
      <c r="F85" s="118"/>
      <c r="G85" s="118"/>
    </row>
    <row r="86" spans="6:7">
      <c r="F86" s="118"/>
      <c r="G86" s="118"/>
    </row>
    <row r="87" spans="6:7">
      <c r="F87" s="118"/>
      <c r="G87" s="118"/>
    </row>
    <row r="88" spans="6:7">
      <c r="F88" s="118"/>
      <c r="G88" s="118"/>
    </row>
    <row r="89" spans="6:7">
      <c r="F89" s="118"/>
      <c r="G89" s="118"/>
    </row>
    <row r="90" spans="6:7">
      <c r="F90" s="118"/>
      <c r="G90" s="118"/>
    </row>
    <row r="91" spans="6:7">
      <c r="F91" s="118"/>
      <c r="G91" s="118"/>
    </row>
    <row r="92" spans="6:7">
      <c r="F92" s="118"/>
      <c r="G92" s="118"/>
    </row>
    <row r="93" spans="6:7">
      <c r="F93" s="118"/>
      <c r="G93" s="118"/>
    </row>
  </sheetData>
  <mergeCells count="20">
    <mergeCell ref="C4:I4"/>
    <mergeCell ref="C54:G54"/>
    <mergeCell ref="C14:G14"/>
    <mergeCell ref="C57:G57"/>
    <mergeCell ref="C56:G56"/>
    <mergeCell ref="C18:G18"/>
    <mergeCell ref="C17:G17"/>
    <mergeCell ref="C15:G15"/>
    <mergeCell ref="E11:F11"/>
    <mergeCell ref="C13:G13"/>
    <mergeCell ref="E7:F7"/>
    <mergeCell ref="E8:F8"/>
    <mergeCell ref="G11:I11"/>
    <mergeCell ref="C61:G61"/>
    <mergeCell ref="C60:G60"/>
    <mergeCell ref="C16:G16"/>
    <mergeCell ref="C59:G59"/>
    <mergeCell ref="C55:G55"/>
    <mergeCell ref="C58:G58"/>
    <mergeCell ref="C19:G19"/>
  </mergeCells>
  <conditionalFormatting sqref="A5:F5 A4:C4">
    <cfRule type="expression" priority="4">
      <formula>$D$7="No"</formula>
    </cfRule>
  </conditionalFormatting>
  <conditionalFormatting sqref="E7:F7">
    <cfRule type="expression" dxfId="38" priority="3">
      <formula>$D$7="No"</formula>
    </cfRule>
  </conditionalFormatting>
  <conditionalFormatting sqref="A55:F60 A54:C54">
    <cfRule type="expression" dxfId="37" priority="2">
      <formula>$D$7="No"</formula>
    </cfRule>
  </conditionalFormatting>
  <conditionalFormatting sqref="E8:F8">
    <cfRule type="expression" dxfId="36" priority="1">
      <formula>$D$8="No"</formula>
    </cfRule>
  </conditionalFormatting>
  <dataValidations count="1">
    <dataValidation type="list" allowBlank="1" showInputMessage="1" showErrorMessage="1" sqref="D6:D8 D11" xr:uid="{00000000-0002-0000-0200-000000000000}">
      <formula1>"Yes,No"</formula1>
    </dataValidation>
  </dataValidations>
  <hyperlinks>
    <hyperlink ref="E11:F11" location="'6. SH Tenancy Support Services'!A1" display="Link to TSS Staffing Model Budget Tab" xr:uid="{00000000-0004-0000-0200-000000000000}"/>
    <hyperlink ref="E7:F7" location="'8. General Start Up Cost'!A1" display="Link to General Start Up Budget Tab" xr:uid="{00000000-0004-0000-0200-000001000000}"/>
    <hyperlink ref="E8:F8" location="'9. Medicaid Start Up Costs'!A1" display="Link to Medicaid Start Up Budget Tab" xr:uid="{00000000-0004-0000-0200-000002000000}"/>
    <hyperlink ref="G11:I11" r:id="rId1" display="About the TSS Staffing Model" xr:uid="{00000000-0004-0000-0200-000003000000}"/>
  </hyperlinks>
  <pageMargins left="0.7" right="0.7" top="0.75" bottom="0.75" header="0.3" footer="0.3"/>
  <pageSetup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B1:U91"/>
  <sheetViews>
    <sheetView showGridLines="0" zoomScale="70" zoomScaleNormal="70" workbookViewId="0">
      <selection activeCell="H5" sqref="H5"/>
    </sheetView>
  </sheetViews>
  <sheetFormatPr defaultColWidth="9.140625" defaultRowHeight="15.6"/>
  <cols>
    <col min="1" max="2" width="2.85546875" style="4" customWidth="1"/>
    <col min="3" max="3" width="37.5703125" style="99" customWidth="1"/>
    <col min="4" max="4" width="25.42578125" style="4" customWidth="1"/>
    <col min="5" max="5" width="41.85546875" style="4" customWidth="1"/>
    <col min="6" max="6" width="39.5703125" style="10" customWidth="1"/>
    <col min="7" max="7" width="28.42578125" style="8" customWidth="1"/>
    <col min="8" max="9" width="25.42578125" style="8" customWidth="1"/>
    <col min="10" max="11" width="25.42578125" style="4" customWidth="1"/>
    <col min="12" max="12" width="25.140625" style="4" customWidth="1"/>
    <col min="13" max="13" width="9.140625" style="4" customWidth="1"/>
    <col min="14" max="14" width="24.42578125" style="4" customWidth="1"/>
    <col min="15" max="15" width="21.5703125" style="4" customWidth="1"/>
    <col min="16" max="16" width="17" style="4" customWidth="1"/>
    <col min="17" max="17" width="19.5703125" style="4" customWidth="1"/>
    <col min="18" max="16384" width="9.140625" style="4"/>
  </cols>
  <sheetData>
    <row r="1" spans="2:21" s="3" customFormat="1">
      <c r="B1" s="1"/>
      <c r="C1" s="89"/>
      <c r="D1" s="2"/>
    </row>
    <row r="2" spans="2:21">
      <c r="C2" s="5" t="s">
        <v>88</v>
      </c>
      <c r="D2" s="6"/>
      <c r="E2" s="6"/>
      <c r="F2" s="7"/>
    </row>
    <row r="4" spans="2:21" ht="15.95" thickBot="1">
      <c r="C4" s="9" t="s">
        <v>89</v>
      </c>
    </row>
    <row r="5" spans="2:21" ht="146.25" customHeight="1" thickBot="1">
      <c r="C5" s="490" t="s">
        <v>90</v>
      </c>
      <c r="D5" s="490"/>
      <c r="E5" s="490"/>
      <c r="F5" s="490"/>
      <c r="G5" s="490"/>
      <c r="H5" s="370" t="s">
        <v>91</v>
      </c>
      <c r="I5" s="252"/>
    </row>
    <row r="6" spans="2:21">
      <c r="C6" s="9" t="s">
        <v>92</v>
      </c>
      <c r="N6" s="11"/>
    </row>
    <row r="8" spans="2:21" ht="18.95" customHeight="1">
      <c r="C8" s="90" t="s">
        <v>93</v>
      </c>
      <c r="D8" s="12" t="s">
        <v>94</v>
      </c>
      <c r="E8" s="13" t="s">
        <v>95</v>
      </c>
      <c r="F8" s="14"/>
      <c r="G8" s="13"/>
      <c r="H8" s="13"/>
      <c r="I8" s="13"/>
      <c r="J8" s="15" t="s">
        <v>96</v>
      </c>
      <c r="N8" s="11"/>
      <c r="O8" s="11"/>
      <c r="P8" s="11"/>
      <c r="Q8" s="11"/>
      <c r="R8" s="11"/>
    </row>
    <row r="9" spans="2:21" ht="18.95" customHeight="1" thickBot="1">
      <c r="B9" s="16"/>
      <c r="C9" s="91" t="s">
        <v>67</v>
      </c>
      <c r="D9" s="430">
        <v>100</v>
      </c>
      <c r="E9" s="93">
        <v>10</v>
      </c>
      <c r="F9" s="94">
        <f>ROUNDUP(D9/100,0)</f>
        <v>1</v>
      </c>
      <c r="G9" s="95"/>
      <c r="H9" s="95"/>
      <c r="I9" s="95"/>
      <c r="J9" s="20">
        <f>D9/E9</f>
        <v>10</v>
      </c>
      <c r="N9" s="11"/>
      <c r="O9" s="11"/>
      <c r="P9" s="11"/>
      <c r="Q9" s="11"/>
      <c r="R9" s="11"/>
    </row>
    <row r="10" spans="2:21" ht="15.95" thickBot="1">
      <c r="C10" s="96" t="s">
        <v>97</v>
      </c>
      <c r="D10" s="97">
        <f>SUM(D9:D9)</f>
        <v>100</v>
      </c>
      <c r="E10" s="98"/>
      <c r="F10" s="49"/>
      <c r="G10" s="59"/>
      <c r="H10" s="59"/>
      <c r="I10" s="59"/>
      <c r="N10" s="11"/>
      <c r="O10" s="11"/>
      <c r="P10" s="11"/>
      <c r="Q10" s="11"/>
      <c r="R10" s="11"/>
    </row>
    <row r="11" spans="2:21">
      <c r="D11" s="100"/>
      <c r="F11" s="49"/>
      <c r="G11" s="59"/>
      <c r="H11" s="59"/>
      <c r="I11" s="59"/>
      <c r="N11" s="38"/>
      <c r="O11" s="101"/>
      <c r="P11" s="102"/>
      <c r="Q11" s="102"/>
    </row>
    <row r="12" spans="2:21" ht="43.5" customHeight="1">
      <c r="C12" s="490" t="s">
        <v>98</v>
      </c>
      <c r="D12" s="490"/>
      <c r="E12" s="490"/>
      <c r="F12" s="490"/>
      <c r="G12" s="490"/>
      <c r="H12" s="265"/>
      <c r="I12" s="265"/>
    </row>
    <row r="13" spans="2:21">
      <c r="C13" s="4" t="s">
        <v>99</v>
      </c>
      <c r="N13" s="11"/>
      <c r="R13" s="9"/>
      <c r="S13" s="9"/>
      <c r="T13" s="9"/>
      <c r="U13" s="9"/>
    </row>
    <row r="14" spans="2:21">
      <c r="C14" s="4"/>
      <c r="N14" s="11"/>
      <c r="R14" s="9"/>
      <c r="S14" s="9"/>
      <c r="T14" s="9"/>
      <c r="U14" s="9"/>
    </row>
    <row r="15" spans="2:21">
      <c r="C15" s="9" t="s">
        <v>100</v>
      </c>
    </row>
    <row r="16" spans="2:21">
      <c r="N16" s="11"/>
    </row>
    <row r="17" spans="3:11">
      <c r="D17" s="32" t="s">
        <v>101</v>
      </c>
      <c r="E17" s="32" t="s">
        <v>102</v>
      </c>
      <c r="F17" s="32"/>
      <c r="K17" s="32"/>
    </row>
    <row r="18" spans="3:11">
      <c r="C18" s="36" t="s">
        <v>103</v>
      </c>
      <c r="D18" s="282">
        <v>0.25</v>
      </c>
      <c r="E18" s="35">
        <v>70000</v>
      </c>
      <c r="F18" s="493" t="s">
        <v>104</v>
      </c>
      <c r="G18" s="494"/>
      <c r="H18" s="494"/>
      <c r="I18" s="494"/>
      <c r="J18" s="494"/>
    </row>
    <row r="19" spans="3:11">
      <c r="C19" s="36" t="s">
        <v>105</v>
      </c>
      <c r="D19" s="34">
        <v>1</v>
      </c>
      <c r="E19" s="35">
        <v>36000</v>
      </c>
      <c r="F19" s="493"/>
      <c r="G19" s="494"/>
      <c r="H19" s="494"/>
      <c r="I19" s="494"/>
      <c r="J19" s="494"/>
    </row>
    <row r="20" spans="3:11" ht="15.95" thickBot="1">
      <c r="C20" s="103" t="s">
        <v>106</v>
      </c>
      <c r="D20" s="47">
        <v>1</v>
      </c>
      <c r="E20" s="48">
        <v>240000</v>
      </c>
      <c r="F20" s="104"/>
      <c r="G20" s="104"/>
      <c r="H20" s="104"/>
      <c r="I20" s="104"/>
      <c r="J20" s="105"/>
    </row>
    <row r="21" spans="3:11" ht="39" customHeight="1">
      <c r="C21" s="106" t="s">
        <v>107</v>
      </c>
      <c r="D21" s="151">
        <f>F9</f>
        <v>1</v>
      </c>
      <c r="E21" s="41">
        <v>55000</v>
      </c>
      <c r="F21" s="502" t="s">
        <v>108</v>
      </c>
      <c r="G21" s="107"/>
      <c r="H21" s="107"/>
      <c r="I21" s="107"/>
    </row>
    <row r="22" spans="3:11">
      <c r="C22" s="36" t="s">
        <v>109</v>
      </c>
      <c r="D22" s="34">
        <f>F9</f>
        <v>1</v>
      </c>
      <c r="E22" s="35">
        <v>48000</v>
      </c>
      <c r="F22" s="503"/>
      <c r="G22" s="104"/>
      <c r="H22" s="104"/>
      <c r="I22" s="104"/>
    </row>
    <row r="23" spans="3:11">
      <c r="C23" s="36" t="s">
        <v>110</v>
      </c>
      <c r="D23" s="34">
        <f>F9*2</f>
        <v>2</v>
      </c>
      <c r="E23" s="35">
        <v>70000</v>
      </c>
      <c r="F23" s="503"/>
      <c r="G23" s="104"/>
      <c r="H23" s="104"/>
      <c r="I23" s="104"/>
    </row>
    <row r="24" spans="3:11">
      <c r="C24" s="36" t="s">
        <v>111</v>
      </c>
      <c r="D24" s="34">
        <f>F9*2</f>
        <v>2</v>
      </c>
      <c r="E24" s="35">
        <v>45000</v>
      </c>
      <c r="F24" s="503"/>
      <c r="G24" s="104"/>
      <c r="H24" s="104"/>
      <c r="I24" s="104"/>
    </row>
    <row r="25" spans="3:11">
      <c r="C25" s="36" t="s">
        <v>112</v>
      </c>
      <c r="D25" s="34">
        <v>2</v>
      </c>
      <c r="E25" s="35">
        <v>40000</v>
      </c>
      <c r="F25" s="503"/>
      <c r="G25" s="104"/>
      <c r="H25" s="104"/>
      <c r="I25" s="104"/>
    </row>
    <row r="26" spans="3:11" ht="15.95" thickBot="1">
      <c r="C26" s="36" t="s">
        <v>113</v>
      </c>
      <c r="D26" s="34">
        <v>1</v>
      </c>
      <c r="E26" s="35">
        <v>45000</v>
      </c>
      <c r="F26" s="504"/>
      <c r="G26" s="104"/>
      <c r="H26" s="104"/>
      <c r="I26" s="104"/>
    </row>
    <row r="27" spans="3:11" ht="15.95" thickBot="1">
      <c r="D27" s="108"/>
      <c r="E27" s="109"/>
      <c r="F27" s="104"/>
      <c r="G27" s="104"/>
      <c r="H27" s="104"/>
      <c r="I27" s="104"/>
      <c r="J27" s="104"/>
    </row>
    <row r="28" spans="3:11">
      <c r="C28" s="230" t="s">
        <v>114</v>
      </c>
      <c r="D28" s="231"/>
      <c r="E28" s="231"/>
      <c r="F28" s="232"/>
      <c r="G28" s="233"/>
    </row>
    <row r="29" spans="3:11">
      <c r="C29" s="245" t="s">
        <v>115</v>
      </c>
      <c r="D29" s="223"/>
      <c r="E29" s="495" t="s">
        <v>116</v>
      </c>
      <c r="F29" s="495"/>
      <c r="G29" s="496"/>
      <c r="H29" s="263"/>
      <c r="I29" s="263"/>
    </row>
    <row r="30" spans="3:11">
      <c r="C30" s="246" t="s">
        <v>117</v>
      </c>
      <c r="D30" s="51">
        <v>40</v>
      </c>
      <c r="E30" s="497" t="s">
        <v>118</v>
      </c>
      <c r="F30" s="498"/>
      <c r="G30" s="499"/>
      <c r="H30" s="264"/>
      <c r="I30" s="264"/>
    </row>
    <row r="31" spans="3:11">
      <c r="C31" s="247" t="s">
        <v>119</v>
      </c>
      <c r="D31" s="51">
        <v>4</v>
      </c>
      <c r="E31" s="497" t="s">
        <v>120</v>
      </c>
      <c r="F31" s="498"/>
      <c r="G31" s="499"/>
      <c r="H31" s="264"/>
      <c r="I31" s="264"/>
    </row>
    <row r="32" spans="3:11">
      <c r="C32" s="247" t="s">
        <v>121</v>
      </c>
      <c r="D32" s="53">
        <v>0.75</v>
      </c>
      <c r="E32" s="497" t="s">
        <v>122</v>
      </c>
      <c r="F32" s="498"/>
      <c r="G32" s="499"/>
      <c r="H32" s="264"/>
      <c r="I32" s="264"/>
    </row>
    <row r="33" spans="3:12">
      <c r="C33" s="246" t="s">
        <v>123</v>
      </c>
      <c r="D33" s="51">
        <v>10</v>
      </c>
      <c r="E33" s="497" t="s">
        <v>124</v>
      </c>
      <c r="F33" s="498"/>
      <c r="G33" s="499"/>
      <c r="H33" s="264"/>
      <c r="I33" s="264"/>
    </row>
    <row r="34" spans="3:12">
      <c r="C34" s="247" t="s">
        <v>125</v>
      </c>
      <c r="D34" s="51">
        <v>20</v>
      </c>
      <c r="E34" s="497" t="s">
        <v>126</v>
      </c>
      <c r="F34" s="498"/>
      <c r="G34" s="499"/>
      <c r="H34" s="264"/>
      <c r="I34" s="264"/>
    </row>
    <row r="35" spans="3:12">
      <c r="C35" s="247" t="s">
        <v>127</v>
      </c>
      <c r="D35" s="51">
        <v>3</v>
      </c>
      <c r="E35" s="497" t="s">
        <v>128</v>
      </c>
      <c r="F35" s="498"/>
      <c r="G35" s="499"/>
      <c r="H35" s="264"/>
      <c r="I35" s="264"/>
    </row>
    <row r="36" spans="3:12" ht="15.95" thickBot="1">
      <c r="C36" s="248" t="s">
        <v>129</v>
      </c>
      <c r="D36" s="55">
        <v>1</v>
      </c>
      <c r="E36" s="497" t="s">
        <v>130</v>
      </c>
      <c r="F36" s="498"/>
      <c r="G36" s="499"/>
      <c r="H36" s="264"/>
      <c r="I36" s="264"/>
    </row>
    <row r="37" spans="3:12">
      <c r="C37" s="249" t="s">
        <v>131</v>
      </c>
      <c r="D37" s="110">
        <f>IF(D33="","",(52-(SUM(D33:D36)/5))*$D$30*$D$31*$D$32)</f>
        <v>5424</v>
      </c>
      <c r="G37" s="239"/>
    </row>
    <row r="38" spans="3:12" ht="15.95" thickBot="1">
      <c r="C38" s="240" t="s">
        <v>132</v>
      </c>
      <c r="D38" s="241">
        <f>(52*5)-(SUM(D33:D36))</f>
        <v>226</v>
      </c>
      <c r="E38" s="250"/>
      <c r="F38" s="243"/>
      <c r="G38" s="244"/>
    </row>
    <row r="39" spans="3:12">
      <c r="C39" s="111"/>
      <c r="D39" s="59"/>
      <c r="E39" s="112"/>
    </row>
    <row r="40" spans="3:12">
      <c r="C40" s="500" t="s">
        <v>133</v>
      </c>
      <c r="D40" s="500"/>
      <c r="F40" s="11"/>
    </row>
    <row r="41" spans="3:12">
      <c r="F41" s="491" t="s">
        <v>134</v>
      </c>
      <c r="G41" s="501"/>
      <c r="H41" s="501"/>
      <c r="I41" s="501"/>
      <c r="J41" s="501"/>
      <c r="K41" s="501"/>
      <c r="L41" s="492"/>
    </row>
    <row r="42" spans="3:12">
      <c r="C42" s="491" t="s">
        <v>135</v>
      </c>
      <c r="D42" s="492"/>
      <c r="E42" s="60"/>
      <c r="F42" s="253"/>
      <c r="G42" s="254" t="s">
        <v>136</v>
      </c>
      <c r="H42" s="254" t="s">
        <v>137</v>
      </c>
      <c r="I42" s="254" t="s">
        <v>138</v>
      </c>
      <c r="J42" s="254" t="s">
        <v>139</v>
      </c>
      <c r="K42" s="254" t="s">
        <v>140</v>
      </c>
      <c r="L42" s="254" t="s">
        <v>141</v>
      </c>
    </row>
    <row r="43" spans="3:12">
      <c r="C43" s="158" t="s">
        <v>142</v>
      </c>
      <c r="D43" s="62"/>
      <c r="E43" s="63"/>
      <c r="F43" s="158" t="s">
        <v>142</v>
      </c>
      <c r="G43" s="62"/>
      <c r="H43" s="62"/>
      <c r="I43" s="62"/>
      <c r="J43" s="62"/>
      <c r="K43" s="62"/>
      <c r="L43" s="62"/>
    </row>
    <row r="44" spans="3:12">
      <c r="C44" s="73" t="s">
        <v>143</v>
      </c>
      <c r="D44" s="65">
        <f>SUMPRODUCT(D18:D26,E18:E26)</f>
        <v>751500</v>
      </c>
      <c r="E44" s="66"/>
      <c r="F44" s="73" t="s">
        <v>143</v>
      </c>
      <c r="G44" s="65" t="e">
        <f>SUM(I44:L44)</f>
        <v>#REF!</v>
      </c>
      <c r="H44" s="267" t="e">
        <f>IF(OR('6. New Medicaid Provider Costs'!#REF!="Apply to ACT Tab 4",'6. New Medicaid Provider Costs'!#REF!="Apply to All"),SUM('6. New Medicaid Provider Costs'!$I$11:$I$13),0)</f>
        <v>#REF!</v>
      </c>
      <c r="I44" s="65"/>
      <c r="J44" s="65" t="e">
        <f>D44+H44</f>
        <v>#REF!</v>
      </c>
      <c r="K44" s="65" t="e">
        <f>J44*(1+$G$91)</f>
        <v>#REF!</v>
      </c>
      <c r="L44" s="65" t="e">
        <f>K44*(1+$G$91)</f>
        <v>#REF!</v>
      </c>
    </row>
    <row r="45" spans="3:12">
      <c r="C45" s="73" t="s">
        <v>144</v>
      </c>
      <c r="D45" s="65">
        <f>D44*'3. Basic Input &amp; Assumptions'!H19</f>
        <v>212373.90000000002</v>
      </c>
      <c r="E45" s="66"/>
      <c r="F45" s="73" t="s">
        <v>144</v>
      </c>
      <c r="G45" s="65" t="e">
        <f t="shared" ref="G45:G48" si="0">SUM(I45:L45)</f>
        <v>#REF!</v>
      </c>
      <c r="H45" s="267" t="e">
        <f>IF(OR('6. New Medicaid Provider Costs'!#REF!="Apply to ACT Tab 4",'6. New Medicaid Provider Costs'!#REF!="Apply to All"),SUM('6. New Medicaid Provider Costs'!$I$11:$I$13)*'3. Basic Input &amp; Assumptions'!$H$19,0)</f>
        <v>#REF!</v>
      </c>
      <c r="I45" s="65"/>
      <c r="J45" s="65" t="e">
        <f>(J44*'3. Basic Input &amp; Assumptions'!$H$19)</f>
        <v>#REF!</v>
      </c>
      <c r="K45" s="65" t="e">
        <f>(K44*'3. Basic Input &amp; Assumptions'!$H$19)</f>
        <v>#REF!</v>
      </c>
      <c r="L45" s="65" t="e">
        <f>(L44*'3. Basic Input &amp; Assumptions'!$H$19)</f>
        <v>#REF!</v>
      </c>
    </row>
    <row r="46" spans="3:12">
      <c r="C46" s="73" t="s">
        <v>145</v>
      </c>
      <c r="D46" s="67"/>
      <c r="E46" s="66"/>
      <c r="F46" s="73" t="s">
        <v>145</v>
      </c>
      <c r="G46" s="65" t="e">
        <f t="shared" si="0"/>
        <v>#REF!</v>
      </c>
      <c r="H46" s="267" t="e">
        <f>IF(OR('6. New Medicaid Provider Costs'!#REF!="Apply to ACT Tab 4",'6. New Medicaid Provider Costs'!#REF!="Apply to All"),SUM('6. New Medicaid Provider Costs'!$I$15:$I$16),0)</f>
        <v>#REF!</v>
      </c>
      <c r="I46" s="65"/>
      <c r="J46" s="67" t="e">
        <f>D46+H46</f>
        <v>#REF!</v>
      </c>
      <c r="K46" s="67" t="e">
        <f t="shared" ref="K46:L48" si="1">J46*(1+$G$91)</f>
        <v>#REF!</v>
      </c>
      <c r="L46" s="67" t="e">
        <f t="shared" si="1"/>
        <v>#REF!</v>
      </c>
    </row>
    <row r="47" spans="3:12">
      <c r="C47" s="73" t="s">
        <v>146</v>
      </c>
      <c r="D47" s="67"/>
      <c r="E47" s="66"/>
      <c r="F47" s="73" t="s">
        <v>146</v>
      </c>
      <c r="G47" s="65" t="e">
        <f t="shared" si="0"/>
        <v>#REF!</v>
      </c>
      <c r="H47" s="267" t="e">
        <f>IF(OR('6. New Medicaid Provider Costs'!#REF!="Apply to ACT Tab 4",'6. New Medicaid Provider Costs'!#REF!="Apply to All"),'6. New Medicaid Provider Costs'!$I$18,0)</f>
        <v>#REF!</v>
      </c>
      <c r="I47" s="267">
        <f>SUM('5. General Start Up Cost'!$F$10:$F$15)</f>
        <v>4500</v>
      </c>
      <c r="J47" s="67" t="e">
        <f t="shared" ref="J47:J48" si="2">D47+H47</f>
        <v>#REF!</v>
      </c>
      <c r="K47" s="67" t="e">
        <f t="shared" si="1"/>
        <v>#REF!</v>
      </c>
      <c r="L47" s="67" t="e">
        <f t="shared" si="1"/>
        <v>#REF!</v>
      </c>
    </row>
    <row r="48" spans="3:12">
      <c r="C48" s="153" t="s">
        <v>147</v>
      </c>
      <c r="D48" s="68">
        <f>D44*('3. Basic Input &amp; Assumptions'!H18)</f>
        <v>11272.5</v>
      </c>
      <c r="E48" s="201" t="s">
        <v>148</v>
      </c>
      <c r="F48" s="153" t="s">
        <v>147</v>
      </c>
      <c r="G48" s="359" t="e">
        <f t="shared" si="0"/>
        <v>#REF!</v>
      </c>
      <c r="H48" s="317" t="e">
        <f>IF(OR('6. New Medicaid Provider Costs'!#REF!="Apply to ACT Tab 4",'6. New Medicaid Provider Costs'!#REF!="Apply to All"),SUM('6. New Medicaid Provider Costs'!$I$20:$I$22),0)</f>
        <v>#REF!</v>
      </c>
      <c r="I48" s="317">
        <f>SUM('5. General Start Up Cost'!$F$17:$F$20)</f>
        <v>0</v>
      </c>
      <c r="J48" s="67" t="e">
        <f t="shared" si="2"/>
        <v>#REF!</v>
      </c>
      <c r="K48" s="67" t="e">
        <f t="shared" si="1"/>
        <v>#REF!</v>
      </c>
      <c r="L48" s="67" t="e">
        <f t="shared" si="1"/>
        <v>#REF!</v>
      </c>
    </row>
    <row r="49" spans="3:12">
      <c r="C49" s="70" t="s">
        <v>149</v>
      </c>
      <c r="D49" s="62">
        <f>SUM(D44:D48)</f>
        <v>975146.4</v>
      </c>
      <c r="E49" s="66"/>
      <c r="F49" s="70" t="s">
        <v>149</v>
      </c>
      <c r="G49" s="262" t="e">
        <f>SUM(I49:L49)</f>
        <v>#REF!</v>
      </c>
      <c r="H49" s="272" t="e">
        <f>SUM(H44:H48)</f>
        <v>#REF!</v>
      </c>
      <c r="I49" s="272">
        <f>SUM(I44:I48)</f>
        <v>4500</v>
      </c>
      <c r="J49" s="272" t="e">
        <f>SUM(J44:J48)</f>
        <v>#REF!</v>
      </c>
      <c r="K49" s="272" t="e">
        <f>SUM(K44:K48)</f>
        <v>#REF!</v>
      </c>
      <c r="L49" s="272" t="e">
        <f>SUM(L44:L48)</f>
        <v>#REF!</v>
      </c>
    </row>
    <row r="50" spans="3:12">
      <c r="C50" s="72"/>
      <c r="D50" s="65"/>
      <c r="E50" s="66"/>
      <c r="F50" s="72"/>
      <c r="G50" s="65"/>
      <c r="H50" s="65"/>
      <c r="I50" s="65"/>
      <c r="J50" s="65"/>
      <c r="K50" s="65"/>
      <c r="L50" s="65"/>
    </row>
    <row r="51" spans="3:12">
      <c r="C51" s="159" t="s">
        <v>150</v>
      </c>
      <c r="D51" s="65"/>
      <c r="E51" s="66"/>
      <c r="F51" s="159" t="s">
        <v>150</v>
      </c>
      <c r="G51" s="65"/>
      <c r="H51" s="65"/>
      <c r="I51" s="65"/>
      <c r="J51" s="65"/>
      <c r="K51" s="65"/>
      <c r="L51" s="65"/>
    </row>
    <row r="52" spans="3:12">
      <c r="C52" s="73" t="s">
        <v>151</v>
      </c>
      <c r="D52" s="67">
        <v>36500</v>
      </c>
      <c r="E52" s="66"/>
      <c r="F52" s="73" t="s">
        <v>151</v>
      </c>
      <c r="G52" s="67">
        <f>SUM(I52:L52)</f>
        <v>116760.3125</v>
      </c>
      <c r="H52" s="65"/>
      <c r="I52" s="267">
        <f>'5. General Start Up Cost'!$F$24</f>
        <v>4500</v>
      </c>
      <c r="J52" s="67">
        <f t="shared" ref="J52:J87" si="3">D52</f>
        <v>36500</v>
      </c>
      <c r="K52" s="67">
        <f t="shared" ref="K52:L57" si="4">J52*(1+$G$91)</f>
        <v>37412.5</v>
      </c>
      <c r="L52" s="67">
        <f t="shared" si="4"/>
        <v>38347.8125</v>
      </c>
    </row>
    <row r="53" spans="3:12">
      <c r="C53" s="73" t="s">
        <v>152</v>
      </c>
      <c r="D53" s="67">
        <v>9500</v>
      </c>
      <c r="E53" s="66"/>
      <c r="F53" s="73" t="s">
        <v>152</v>
      </c>
      <c r="G53" s="67">
        <f t="shared" ref="G53:G58" si="5">SUM(I53:L53)</f>
        <v>29218.4375</v>
      </c>
      <c r="H53" s="65"/>
      <c r="I53" s="267">
        <f>'5. General Start Up Cost'!$F$25</f>
        <v>0</v>
      </c>
      <c r="J53" s="67">
        <f t="shared" si="3"/>
        <v>9500</v>
      </c>
      <c r="K53" s="67">
        <f t="shared" si="4"/>
        <v>9737.5</v>
      </c>
      <c r="L53" s="67">
        <f t="shared" si="4"/>
        <v>9980.9375</v>
      </c>
    </row>
    <row r="54" spans="3:12">
      <c r="C54" s="73" t="s">
        <v>153</v>
      </c>
      <c r="D54" s="67">
        <v>12500</v>
      </c>
      <c r="E54" s="66"/>
      <c r="F54" s="73" t="s">
        <v>153</v>
      </c>
      <c r="G54" s="67">
        <f t="shared" si="5"/>
        <v>38445.3125</v>
      </c>
      <c r="H54" s="65"/>
      <c r="I54" s="267">
        <f>'5. General Start Up Cost'!$F$26</f>
        <v>0</v>
      </c>
      <c r="J54" s="67">
        <f t="shared" si="3"/>
        <v>12500</v>
      </c>
      <c r="K54" s="67">
        <f t="shared" si="4"/>
        <v>12812.499999999998</v>
      </c>
      <c r="L54" s="67">
        <f t="shared" si="4"/>
        <v>13132.812499999996</v>
      </c>
    </row>
    <row r="55" spans="3:12">
      <c r="C55" s="73" t="s">
        <v>154</v>
      </c>
      <c r="D55" s="67">
        <v>10000</v>
      </c>
      <c r="E55" s="66"/>
      <c r="F55" s="73" t="s">
        <v>154</v>
      </c>
      <c r="G55" s="67">
        <f t="shared" si="5"/>
        <v>30756.25</v>
      </c>
      <c r="H55" s="65"/>
      <c r="I55" s="65"/>
      <c r="J55" s="67">
        <f t="shared" si="3"/>
        <v>10000</v>
      </c>
      <c r="K55" s="67">
        <f t="shared" si="4"/>
        <v>10250</v>
      </c>
      <c r="L55" s="67">
        <f t="shared" si="4"/>
        <v>10506.249999999998</v>
      </c>
    </row>
    <row r="56" spans="3:12">
      <c r="C56" s="73" t="s">
        <v>155</v>
      </c>
      <c r="D56" s="67">
        <v>9600</v>
      </c>
      <c r="E56" s="66"/>
      <c r="F56" s="73" t="s">
        <v>155</v>
      </c>
      <c r="G56" s="67">
        <f t="shared" si="5"/>
        <v>29526</v>
      </c>
      <c r="H56" s="65"/>
      <c r="I56" s="267">
        <f>'5. General Start Up Cost'!$F$27</f>
        <v>0</v>
      </c>
      <c r="J56" s="67">
        <f t="shared" si="3"/>
        <v>9600</v>
      </c>
      <c r="K56" s="67">
        <f t="shared" si="4"/>
        <v>9840</v>
      </c>
      <c r="L56" s="67">
        <f t="shared" si="4"/>
        <v>10086</v>
      </c>
    </row>
    <row r="57" spans="3:12">
      <c r="C57" s="73" t="s">
        <v>156</v>
      </c>
      <c r="D57" s="67">
        <v>5000</v>
      </c>
      <c r="E57" s="66"/>
      <c r="F57" s="73" t="s">
        <v>156</v>
      </c>
      <c r="G57" s="67">
        <f>SUM(I57:L57)</f>
        <v>15378.125</v>
      </c>
      <c r="H57" s="65"/>
      <c r="I57" s="267">
        <f>'5. General Start Up Cost'!$F$28</f>
        <v>0</v>
      </c>
      <c r="J57" s="67">
        <f t="shared" si="3"/>
        <v>5000</v>
      </c>
      <c r="K57" s="67">
        <f t="shared" si="4"/>
        <v>5125</v>
      </c>
      <c r="L57" s="67">
        <f t="shared" si="4"/>
        <v>5253.1249999999991</v>
      </c>
    </row>
    <row r="58" spans="3:12">
      <c r="C58" s="73" t="s">
        <v>157</v>
      </c>
      <c r="D58" s="67">
        <v>0</v>
      </c>
      <c r="E58" s="66"/>
      <c r="F58" s="73" t="s">
        <v>157</v>
      </c>
      <c r="G58" s="67" t="e">
        <f t="shared" si="5"/>
        <v>#REF!</v>
      </c>
      <c r="H58" s="267" t="e">
        <f>IF(OR('6. New Medicaid Provider Costs'!#REF!="Apply to ACT Tab 4",'6. New Medicaid Provider Costs'!#REF!="Apply to All"),'6. New Medicaid Provider Costs'!$I$28,0)</f>
        <v>#REF!</v>
      </c>
      <c r="I58" s="65"/>
      <c r="J58" s="67" t="e">
        <f>D58+$H$58</f>
        <v>#REF!</v>
      </c>
      <c r="K58" s="67" t="e">
        <f>J58*(1+$G$91)</f>
        <v>#REF!</v>
      </c>
      <c r="L58" s="67" t="e">
        <f>K58*(1+$G$91)</f>
        <v>#REF!</v>
      </c>
    </row>
    <row r="59" spans="3:12">
      <c r="C59" s="64" t="s">
        <v>158</v>
      </c>
      <c r="D59" s="65">
        <f>D60*D61*D62*D38</f>
        <v>25990</v>
      </c>
      <c r="E59" s="201" t="s">
        <v>148</v>
      </c>
      <c r="F59" s="64" t="s">
        <v>158</v>
      </c>
      <c r="G59" s="65">
        <f>SUM(I59:L59)</f>
        <v>83260</v>
      </c>
      <c r="H59" s="65"/>
      <c r="I59" s="65"/>
      <c r="J59" s="65">
        <f t="shared" si="3"/>
        <v>25990</v>
      </c>
      <c r="K59" s="65">
        <f>K60*K61*249*K62</f>
        <v>28635</v>
      </c>
      <c r="L59" s="65">
        <f>L60*L61*249*L62</f>
        <v>28635</v>
      </c>
    </row>
    <row r="60" spans="3:12">
      <c r="C60" s="154" t="s">
        <v>159</v>
      </c>
      <c r="D60" s="150">
        <f>'3. Basic Input &amp; Assumptions'!H16</f>
        <v>0.57499999999999996</v>
      </c>
      <c r="E60" s="201" t="s">
        <v>160</v>
      </c>
      <c r="F60" s="156" t="s">
        <v>159</v>
      </c>
      <c r="G60" s="75">
        <f>'3. Basic Input &amp; Assumptions'!$H$16</f>
        <v>0.57499999999999996</v>
      </c>
      <c r="H60" s="269"/>
      <c r="I60" s="269"/>
      <c r="J60" s="150">
        <f>'3. Basic Input &amp; Assumptions'!H16</f>
        <v>0.57499999999999996</v>
      </c>
      <c r="K60" s="150">
        <f>'3. Basic Input &amp; Assumptions'!H16</f>
        <v>0.57499999999999996</v>
      </c>
      <c r="L60" s="75">
        <f>'3. Basic Input &amp; Assumptions'!H16</f>
        <v>0.57499999999999996</v>
      </c>
    </row>
    <row r="61" spans="3:12" ht="19.5" customHeight="1">
      <c r="C61" s="155" t="s">
        <v>161</v>
      </c>
      <c r="D61" s="76">
        <f>'3. Basic Input &amp; Assumptions'!H14</f>
        <v>20</v>
      </c>
      <c r="E61" s="77"/>
      <c r="F61" s="157" t="s">
        <v>161</v>
      </c>
      <c r="G61" s="76">
        <f>'3. Basic Input &amp; Assumptions'!$H$14</f>
        <v>20</v>
      </c>
      <c r="H61" s="270"/>
      <c r="I61" s="270"/>
      <c r="J61" s="76">
        <f>'3. Basic Input &amp; Assumptions'!H14</f>
        <v>20</v>
      </c>
      <c r="K61" s="76">
        <f>'3. Basic Input &amp; Assumptions'!H14</f>
        <v>20</v>
      </c>
      <c r="L61" s="76">
        <f>'3. Basic Input &amp; Assumptions'!H14</f>
        <v>20</v>
      </c>
    </row>
    <row r="62" spans="3:12">
      <c r="C62" s="155" t="s">
        <v>162</v>
      </c>
      <c r="D62" s="76">
        <f>SUM(D20:D26)</f>
        <v>10</v>
      </c>
      <c r="E62" s="113"/>
      <c r="F62" s="157" t="s">
        <v>162</v>
      </c>
      <c r="G62" s="76">
        <f>AVERAGE(I62:L62)</f>
        <v>10</v>
      </c>
      <c r="H62" s="270"/>
      <c r="I62" s="270"/>
      <c r="J62" s="76">
        <f t="shared" si="3"/>
        <v>10</v>
      </c>
      <c r="K62" s="76">
        <f>J62</f>
        <v>10</v>
      </c>
      <c r="L62" s="76">
        <f>K62</f>
        <v>10</v>
      </c>
    </row>
    <row r="63" spans="3:12">
      <c r="C63" s="73" t="s">
        <v>163</v>
      </c>
      <c r="D63" s="67">
        <v>0</v>
      </c>
      <c r="E63" s="114"/>
      <c r="F63" s="73" t="s">
        <v>163</v>
      </c>
      <c r="G63" s="67">
        <f t="shared" ref="G63:G73" si="6">SUM(I63:L63)</f>
        <v>0</v>
      </c>
      <c r="H63" s="65"/>
      <c r="I63" s="267">
        <f>'5. General Start Up Cost'!$F$29</f>
        <v>0</v>
      </c>
      <c r="J63" s="67">
        <f t="shared" si="3"/>
        <v>0</v>
      </c>
      <c r="K63" s="67">
        <f t="shared" ref="K63:L73" si="7">J63*(1+$G$91)</f>
        <v>0</v>
      </c>
      <c r="L63" s="67">
        <f t="shared" si="7"/>
        <v>0</v>
      </c>
    </row>
    <row r="64" spans="3:12">
      <c r="C64" s="73" t="s">
        <v>164</v>
      </c>
      <c r="D64" s="67">
        <v>0</v>
      </c>
      <c r="E64" s="66"/>
      <c r="F64" s="73" t="s">
        <v>164</v>
      </c>
      <c r="G64" s="67">
        <f t="shared" si="6"/>
        <v>0</v>
      </c>
      <c r="H64" s="65"/>
      <c r="I64" s="267">
        <f>'5. General Start Up Cost'!$F$30</f>
        <v>0</v>
      </c>
      <c r="J64" s="67">
        <f t="shared" si="3"/>
        <v>0</v>
      </c>
      <c r="K64" s="67">
        <f t="shared" si="7"/>
        <v>0</v>
      </c>
      <c r="L64" s="67">
        <f t="shared" si="7"/>
        <v>0</v>
      </c>
    </row>
    <row r="65" spans="3:12">
      <c r="C65" s="73" t="s">
        <v>165</v>
      </c>
      <c r="D65" s="67">
        <v>0</v>
      </c>
      <c r="E65" s="66"/>
      <c r="F65" s="73" t="s">
        <v>165</v>
      </c>
      <c r="G65" s="67">
        <f t="shared" si="6"/>
        <v>0</v>
      </c>
      <c r="H65" s="65"/>
      <c r="I65" s="65"/>
      <c r="J65" s="67">
        <f t="shared" si="3"/>
        <v>0</v>
      </c>
      <c r="K65" s="67">
        <f t="shared" si="7"/>
        <v>0</v>
      </c>
      <c r="L65" s="67">
        <f t="shared" si="7"/>
        <v>0</v>
      </c>
    </row>
    <row r="66" spans="3:12">
      <c r="C66" s="73" t="s">
        <v>166</v>
      </c>
      <c r="D66" s="67">
        <v>0</v>
      </c>
      <c r="E66" s="66"/>
      <c r="F66" s="73" t="s">
        <v>166</v>
      </c>
      <c r="G66" s="67">
        <f t="shared" si="6"/>
        <v>0</v>
      </c>
      <c r="H66" s="65"/>
      <c r="I66" s="65"/>
      <c r="J66" s="67">
        <f t="shared" si="3"/>
        <v>0</v>
      </c>
      <c r="K66" s="67">
        <f t="shared" si="7"/>
        <v>0</v>
      </c>
      <c r="L66" s="67">
        <f t="shared" si="7"/>
        <v>0</v>
      </c>
    </row>
    <row r="67" spans="3:12">
      <c r="C67" s="73" t="s">
        <v>167</v>
      </c>
      <c r="D67" s="67">
        <v>0</v>
      </c>
      <c r="E67" s="66"/>
      <c r="F67" s="73" t="s">
        <v>167</v>
      </c>
      <c r="G67" s="67">
        <f t="shared" si="6"/>
        <v>0</v>
      </c>
      <c r="H67" s="65"/>
      <c r="I67" s="267">
        <f>'5. General Start Up Cost'!$F$31</f>
        <v>0</v>
      </c>
      <c r="J67" s="67">
        <f>D67</f>
        <v>0</v>
      </c>
      <c r="K67" s="67">
        <f t="shared" si="7"/>
        <v>0</v>
      </c>
      <c r="L67" s="67">
        <f t="shared" si="7"/>
        <v>0</v>
      </c>
    </row>
    <row r="68" spans="3:12" ht="46.5">
      <c r="C68" s="73" t="s">
        <v>168</v>
      </c>
      <c r="D68" s="67">
        <v>0</v>
      </c>
      <c r="E68" s="66"/>
      <c r="F68" s="73" t="s">
        <v>168</v>
      </c>
      <c r="G68" s="67" t="e">
        <f t="shared" si="6"/>
        <v>#REF!</v>
      </c>
      <c r="H68" s="267" t="e">
        <f>IF(OR('6. New Medicaid Provider Costs'!#REF!="Apply to ACT Tab 4",'6. New Medicaid Provider Costs'!#REF!="Apply to All"),SUM('6. New Medicaid Provider Costs'!$I$29:$I$40),0)</f>
        <v>#REF!</v>
      </c>
      <c r="I68" s="267">
        <f>SUM('5. General Start Up Cost'!$F$33:$F$42)</f>
        <v>0</v>
      </c>
      <c r="J68" s="67" t="e">
        <f>(D68+$H$68)</f>
        <v>#REF!</v>
      </c>
      <c r="K68" s="67" t="e">
        <f>J68*(1+$G$91)</f>
        <v>#REF!</v>
      </c>
      <c r="L68" s="67" t="e">
        <f>K68*(1+$G$91)</f>
        <v>#REF!</v>
      </c>
    </row>
    <row r="69" spans="3:12" ht="62.1">
      <c r="C69" s="73" t="s">
        <v>169</v>
      </c>
      <c r="D69" s="67">
        <v>2500</v>
      </c>
      <c r="E69" s="66"/>
      <c r="F69" s="73" t="s">
        <v>169</v>
      </c>
      <c r="G69" s="67">
        <f t="shared" si="6"/>
        <v>8189.0625</v>
      </c>
      <c r="H69" s="65"/>
      <c r="I69" s="267">
        <f>'5. General Start Up Cost'!$F$45</f>
        <v>500</v>
      </c>
      <c r="J69" s="67">
        <f>D69</f>
        <v>2500</v>
      </c>
      <c r="K69" s="67">
        <f t="shared" si="7"/>
        <v>2562.5</v>
      </c>
      <c r="L69" s="67">
        <f t="shared" si="7"/>
        <v>2626.5624999999995</v>
      </c>
    </row>
    <row r="70" spans="3:12">
      <c r="C70" s="73" t="s">
        <v>170</v>
      </c>
      <c r="D70" s="67">
        <v>0</v>
      </c>
      <c r="E70" s="66"/>
      <c r="F70" s="73" t="s">
        <v>170</v>
      </c>
      <c r="G70" s="67">
        <f t="shared" si="6"/>
        <v>0</v>
      </c>
      <c r="H70" s="65"/>
      <c r="I70" s="65"/>
      <c r="J70" s="67">
        <f t="shared" si="3"/>
        <v>0</v>
      </c>
      <c r="K70" s="67">
        <f t="shared" si="7"/>
        <v>0</v>
      </c>
      <c r="L70" s="67">
        <f t="shared" si="7"/>
        <v>0</v>
      </c>
    </row>
    <row r="71" spans="3:12">
      <c r="C71" s="73" t="s">
        <v>171</v>
      </c>
      <c r="D71" s="67">
        <v>0</v>
      </c>
      <c r="E71" s="66"/>
      <c r="F71" s="73" t="s">
        <v>171</v>
      </c>
      <c r="G71" s="67">
        <f t="shared" si="6"/>
        <v>0</v>
      </c>
      <c r="H71" s="65"/>
      <c r="I71" s="65"/>
      <c r="J71" s="67">
        <f t="shared" si="3"/>
        <v>0</v>
      </c>
      <c r="K71" s="67">
        <f t="shared" si="7"/>
        <v>0</v>
      </c>
      <c r="L71" s="67">
        <f t="shared" si="7"/>
        <v>0</v>
      </c>
    </row>
    <row r="72" spans="3:12" ht="38.25" customHeight="1">
      <c r="C72" s="73" t="s">
        <v>172</v>
      </c>
      <c r="D72" s="67">
        <v>0</v>
      </c>
      <c r="E72" s="66"/>
      <c r="F72" s="73" t="s">
        <v>172</v>
      </c>
      <c r="G72" s="67" t="e">
        <f t="shared" si="6"/>
        <v>#REF!</v>
      </c>
      <c r="H72" s="267" t="e">
        <f>IF(OR('6. New Medicaid Provider Costs'!#REF!="Apply to ACT Tab 4",'6. New Medicaid Provider Costs'!#REF!="Apply to All"),SUM('6. New Medicaid Provider Costs'!$I$41:$I$42),0)</f>
        <v>#REF!</v>
      </c>
      <c r="I72" s="267">
        <f>SUM('5. General Start Up Cost'!$F$46:$F$50)</f>
        <v>0</v>
      </c>
      <c r="J72" s="67" t="e">
        <f>D72+$H$72</f>
        <v>#REF!</v>
      </c>
      <c r="K72" s="67" t="e">
        <f t="shared" si="7"/>
        <v>#REF!</v>
      </c>
      <c r="L72" s="67" t="e">
        <f t="shared" si="7"/>
        <v>#REF!</v>
      </c>
    </row>
    <row r="73" spans="3:12">
      <c r="C73" s="78" t="s">
        <v>173</v>
      </c>
      <c r="D73" s="68">
        <v>0</v>
      </c>
      <c r="E73" s="66"/>
      <c r="F73" s="78" t="s">
        <v>173</v>
      </c>
      <c r="G73" s="68">
        <f t="shared" si="6"/>
        <v>0</v>
      </c>
      <c r="H73" s="81"/>
      <c r="I73" s="81"/>
      <c r="J73" s="68">
        <f t="shared" si="3"/>
        <v>0</v>
      </c>
      <c r="K73" s="68">
        <f t="shared" si="7"/>
        <v>0</v>
      </c>
      <c r="L73" s="68">
        <f t="shared" si="7"/>
        <v>0</v>
      </c>
    </row>
    <row r="74" spans="3:12" ht="22.7" customHeight="1">
      <c r="C74" s="80" t="s">
        <v>174</v>
      </c>
      <c r="D74" s="62">
        <f>SUM(D52:D73)</f>
        <v>111620.575</v>
      </c>
      <c r="E74" s="66"/>
      <c r="F74" s="80" t="s">
        <v>174</v>
      </c>
      <c r="G74" s="62" t="e">
        <f>SUM(I74:L74)</f>
        <v>#REF!</v>
      </c>
      <c r="H74" s="271" t="e">
        <f>SUM(H52:H73)</f>
        <v>#REF!</v>
      </c>
      <c r="I74" s="271">
        <f>SUM(I52:I73)</f>
        <v>5000</v>
      </c>
      <c r="J74" s="62" t="e">
        <f>SUM(J52:J73)</f>
        <v>#REF!</v>
      </c>
      <c r="K74" s="62" t="e">
        <f>SUM(K52:K73)</f>
        <v>#REF!</v>
      </c>
      <c r="L74" s="62" t="e">
        <f>SUM(L52:L73)</f>
        <v>#REF!</v>
      </c>
    </row>
    <row r="75" spans="3:12">
      <c r="C75" s="72"/>
      <c r="D75" s="65"/>
      <c r="E75" s="66"/>
      <c r="F75" s="72"/>
      <c r="G75" s="65"/>
      <c r="H75" s="65"/>
      <c r="I75" s="65"/>
      <c r="J75" s="65"/>
      <c r="K75" s="65"/>
      <c r="L75" s="65"/>
    </row>
    <row r="76" spans="3:12">
      <c r="C76" s="159" t="s">
        <v>175</v>
      </c>
      <c r="D76" s="65">
        <f>D49+D74</f>
        <v>1086766.9750000001</v>
      </c>
      <c r="E76" s="66"/>
      <c r="F76" s="159" t="s">
        <v>175</v>
      </c>
      <c r="G76" s="65" t="e">
        <f>SUM(I76:L76)</f>
        <v>#REF!</v>
      </c>
      <c r="H76" s="267" t="e">
        <f>SUM(H49,H74)</f>
        <v>#REF!</v>
      </c>
      <c r="I76" s="267">
        <f>SUM(I49,I74)</f>
        <v>9500</v>
      </c>
      <c r="J76" s="65" t="e">
        <f>J49+J74</f>
        <v>#REF!</v>
      </c>
      <c r="K76" s="65" t="e">
        <f>K49+K74</f>
        <v>#REF!</v>
      </c>
      <c r="L76" s="65" t="e">
        <f>L49+L74</f>
        <v>#REF!</v>
      </c>
    </row>
    <row r="77" spans="3:12" ht="24" customHeight="1">
      <c r="C77" s="160" t="s">
        <v>176</v>
      </c>
      <c r="D77" s="81">
        <f>D76*('3. Basic Input &amp; Assumptions'!H13)</f>
        <v>163015.04625000001</v>
      </c>
      <c r="E77" s="66"/>
      <c r="F77" s="160" t="s">
        <v>176</v>
      </c>
      <c r="G77" s="81" t="e">
        <f>SUM(I77:L77)</f>
        <v>#REF!</v>
      </c>
      <c r="H77" s="268" t="e">
        <f>H76*'3. Basic Input &amp; Assumptions'!$H$13</f>
        <v>#REF!</v>
      </c>
      <c r="I77" s="268">
        <f>I76*'3. Basic Input &amp; Assumptions'!$H$13</f>
        <v>1425</v>
      </c>
      <c r="J77" s="81" t="e">
        <f>J76*('3. Basic Input &amp; Assumptions'!$H$13)</f>
        <v>#REF!</v>
      </c>
      <c r="K77" s="81" t="e">
        <f>K76*('3. Basic Input &amp; Assumptions'!$H$13)</f>
        <v>#REF!</v>
      </c>
      <c r="L77" s="81" t="e">
        <f>L76*('3. Basic Input &amp; Assumptions'!H13)</f>
        <v>#REF!</v>
      </c>
    </row>
    <row r="78" spans="3:12" ht="24.75" customHeight="1">
      <c r="C78" s="158" t="s">
        <v>177</v>
      </c>
      <c r="D78" s="62">
        <f>D76+D77</f>
        <v>1249782.0212500002</v>
      </c>
      <c r="E78" s="66"/>
      <c r="F78" s="158" t="s">
        <v>177</v>
      </c>
      <c r="G78" s="62" t="e">
        <f>SUM(I78:L78)</f>
        <v>#REF!</v>
      </c>
      <c r="H78" s="271" t="e">
        <f>SUM(H76:H77)</f>
        <v>#REF!</v>
      </c>
      <c r="I78" s="271">
        <f>SUM(I76:I77)</f>
        <v>10925</v>
      </c>
      <c r="J78" s="62" t="e">
        <f>J76+J77</f>
        <v>#REF!</v>
      </c>
      <c r="K78" s="62" t="e">
        <f>K76+K77</f>
        <v>#REF!</v>
      </c>
      <c r="L78" s="62" t="e">
        <f>L76+L77</f>
        <v>#REF!</v>
      </c>
    </row>
    <row r="79" spans="3:12">
      <c r="C79" s="82"/>
      <c r="D79" s="65"/>
      <c r="E79" s="66"/>
      <c r="F79" s="82"/>
      <c r="G79" s="65"/>
      <c r="H79" s="65"/>
      <c r="I79" s="65"/>
      <c r="J79" s="65"/>
      <c r="K79" s="65"/>
      <c r="L79" s="65"/>
    </row>
    <row r="80" spans="3:12">
      <c r="C80" s="159" t="s">
        <v>178</v>
      </c>
      <c r="D80" s="65"/>
      <c r="E80" s="63"/>
      <c r="F80" s="159" t="s">
        <v>178</v>
      </c>
      <c r="G80" s="65"/>
      <c r="H80" s="65"/>
      <c r="I80" s="65"/>
      <c r="J80" s="65"/>
      <c r="K80" s="65"/>
      <c r="L80" s="65"/>
    </row>
    <row r="81" spans="3:12">
      <c r="C81" s="73" t="s">
        <v>179</v>
      </c>
      <c r="D81" s="67">
        <v>0</v>
      </c>
      <c r="E81" s="63"/>
      <c r="F81" s="73" t="s">
        <v>179</v>
      </c>
      <c r="G81" s="67">
        <f>SUM(I81:L81)</f>
        <v>0</v>
      </c>
      <c r="H81" s="67"/>
      <c r="I81" s="267">
        <v>0</v>
      </c>
      <c r="J81" s="67">
        <f t="shared" ref="J81" si="8">D81</f>
        <v>0</v>
      </c>
      <c r="K81" s="67">
        <f t="shared" ref="K81" si="9">J81</f>
        <v>0</v>
      </c>
      <c r="L81" s="67">
        <f t="shared" ref="L81" si="10">K81</f>
        <v>0</v>
      </c>
    </row>
    <row r="82" spans="3:12">
      <c r="C82" s="73" t="s">
        <v>180</v>
      </c>
      <c r="D82" s="67">
        <v>0</v>
      </c>
      <c r="E82" s="63"/>
      <c r="F82" s="73" t="s">
        <v>180</v>
      </c>
      <c r="G82" s="67">
        <f t="shared" ref="G82:G86" si="11">SUM(I82:L82)</f>
        <v>0</v>
      </c>
      <c r="H82" s="67"/>
      <c r="I82" s="267">
        <v>0</v>
      </c>
      <c r="J82" s="67">
        <f t="shared" si="3"/>
        <v>0</v>
      </c>
      <c r="K82" s="67">
        <f t="shared" ref="K82:L86" si="12">J82</f>
        <v>0</v>
      </c>
      <c r="L82" s="67">
        <f t="shared" si="12"/>
        <v>0</v>
      </c>
    </row>
    <row r="83" spans="3:12">
      <c r="C83" s="73" t="s">
        <v>181</v>
      </c>
      <c r="D83" s="67">
        <v>0</v>
      </c>
      <c r="E83" s="63"/>
      <c r="F83" s="73" t="s">
        <v>181</v>
      </c>
      <c r="G83" s="67">
        <f t="shared" si="11"/>
        <v>0</v>
      </c>
      <c r="H83" s="67"/>
      <c r="I83" s="267">
        <v>0</v>
      </c>
      <c r="J83" s="67">
        <f t="shared" si="3"/>
        <v>0</v>
      </c>
      <c r="K83" s="67">
        <f t="shared" si="12"/>
        <v>0</v>
      </c>
      <c r="L83" s="67">
        <f t="shared" si="12"/>
        <v>0</v>
      </c>
    </row>
    <row r="84" spans="3:12">
      <c r="C84" s="73" t="s">
        <v>182</v>
      </c>
      <c r="D84" s="67">
        <v>0</v>
      </c>
      <c r="E84" s="63"/>
      <c r="F84" s="73" t="s">
        <v>182</v>
      </c>
      <c r="G84" s="67">
        <f t="shared" si="11"/>
        <v>0</v>
      </c>
      <c r="H84" s="67"/>
      <c r="I84" s="267">
        <v>0</v>
      </c>
      <c r="J84" s="67">
        <f t="shared" si="3"/>
        <v>0</v>
      </c>
      <c r="K84" s="67">
        <f t="shared" si="12"/>
        <v>0</v>
      </c>
      <c r="L84" s="67">
        <f t="shared" si="12"/>
        <v>0</v>
      </c>
    </row>
    <row r="85" spans="3:12">
      <c r="C85" s="73" t="s">
        <v>183</v>
      </c>
      <c r="D85" s="67">
        <v>0</v>
      </c>
      <c r="E85" s="63"/>
      <c r="F85" s="73" t="s">
        <v>183</v>
      </c>
      <c r="G85" s="67">
        <f t="shared" si="11"/>
        <v>0</v>
      </c>
      <c r="H85" s="67"/>
      <c r="I85" s="267">
        <v>0</v>
      </c>
      <c r="J85" s="67">
        <f t="shared" si="3"/>
        <v>0</v>
      </c>
      <c r="K85" s="67">
        <f t="shared" si="12"/>
        <v>0</v>
      </c>
      <c r="L85" s="67">
        <f t="shared" si="12"/>
        <v>0</v>
      </c>
    </row>
    <row r="86" spans="3:12">
      <c r="C86" s="78" t="s">
        <v>184</v>
      </c>
      <c r="D86" s="68">
        <v>0</v>
      </c>
      <c r="E86" s="63"/>
      <c r="F86" s="78" t="s">
        <v>184</v>
      </c>
      <c r="G86" s="67">
        <f t="shared" si="11"/>
        <v>0</v>
      </c>
      <c r="H86" s="316"/>
      <c r="I86" s="268">
        <v>0</v>
      </c>
      <c r="J86" s="68">
        <f t="shared" si="3"/>
        <v>0</v>
      </c>
      <c r="K86" s="68">
        <f t="shared" si="12"/>
        <v>0</v>
      </c>
      <c r="L86" s="68">
        <f t="shared" si="12"/>
        <v>0</v>
      </c>
    </row>
    <row r="87" spans="3:12">
      <c r="C87" s="278" t="s">
        <v>185</v>
      </c>
      <c r="D87" s="62">
        <f>SUM(D81:D86)</f>
        <v>0</v>
      </c>
      <c r="E87" s="63"/>
      <c r="F87" s="278" t="s">
        <v>185</v>
      </c>
      <c r="G87" s="62">
        <f>SUM(I87:L87)</f>
        <v>0</v>
      </c>
      <c r="H87" s="62"/>
      <c r="I87" s="271">
        <v>0</v>
      </c>
      <c r="J87" s="62">
        <f t="shared" si="3"/>
        <v>0</v>
      </c>
      <c r="K87" s="62">
        <f>SUM(K82:K86)</f>
        <v>0</v>
      </c>
      <c r="L87" s="62">
        <f>SUM(L82:L86)</f>
        <v>0</v>
      </c>
    </row>
    <row r="88" spans="3:12">
      <c r="C88" s="86"/>
      <c r="D88" s="85"/>
      <c r="E88" s="63"/>
      <c r="F88" s="86"/>
      <c r="G88" s="85"/>
      <c r="H88" s="85"/>
      <c r="I88" s="85"/>
      <c r="J88" s="85"/>
      <c r="K88" s="85"/>
      <c r="L88" s="85"/>
    </row>
    <row r="89" spans="3:12">
      <c r="C89" s="161" t="s">
        <v>186</v>
      </c>
      <c r="D89" s="87">
        <f>D87-D78</f>
        <v>-1249782.0212500002</v>
      </c>
      <c r="E89" s="63"/>
      <c r="F89" s="161" t="s">
        <v>186</v>
      </c>
      <c r="G89" s="87" t="e">
        <f>SUM(I89:L89)</f>
        <v>#REF!</v>
      </c>
      <c r="H89" s="87"/>
      <c r="I89" s="87">
        <f>I87-I78</f>
        <v>-10925</v>
      </c>
      <c r="J89" s="87" t="e">
        <f>J87-J78</f>
        <v>#REF!</v>
      </c>
      <c r="K89" s="87" t="e">
        <f>K87-K78</f>
        <v>#REF!</v>
      </c>
      <c r="L89" s="87" t="e">
        <f>L87-L78</f>
        <v>#REF!</v>
      </c>
    </row>
    <row r="91" spans="3:12">
      <c r="F91" s="10" t="s">
        <v>187</v>
      </c>
      <c r="G91" s="88">
        <f>'3. Basic Input &amp; Assumptions'!H17</f>
        <v>2.5000000000000001E-2</v>
      </c>
      <c r="H91" s="88"/>
      <c r="I91" s="88"/>
    </row>
  </sheetData>
  <sheetProtection selectLockedCells="1"/>
  <mergeCells count="16">
    <mergeCell ref="C5:G5"/>
    <mergeCell ref="C42:D42"/>
    <mergeCell ref="F18:J18"/>
    <mergeCell ref="F19:J19"/>
    <mergeCell ref="E29:G29"/>
    <mergeCell ref="E30:G30"/>
    <mergeCell ref="E31:G31"/>
    <mergeCell ref="C40:D40"/>
    <mergeCell ref="F41:L41"/>
    <mergeCell ref="E35:G35"/>
    <mergeCell ref="E36:G36"/>
    <mergeCell ref="C12:G12"/>
    <mergeCell ref="F21:F26"/>
    <mergeCell ref="E32:G32"/>
    <mergeCell ref="E33:G33"/>
    <mergeCell ref="E34:G34"/>
  </mergeCells>
  <dataValidations count="2">
    <dataValidation type="whole" allowBlank="1" showInputMessage="1" showErrorMessage="1" sqref="D9 F9" xr:uid="{00000000-0002-0000-0300-000000000000}">
      <formula1>0</formula1>
      <formula2>100000</formula2>
    </dataValidation>
    <dataValidation type="list" allowBlank="1" showInputMessage="1" showErrorMessage="1" sqref="C9" xr:uid="{00000000-0002-0000-0300-000001000000}">
      <formula1>$N$9:$N$10</formula1>
    </dataValidation>
  </dataValidations>
  <hyperlinks>
    <hyperlink ref="H5" r:id="rId1" xr:uid="{00000000-0004-0000-0300-000000000000}"/>
  </hyperlinks>
  <pageMargins left="0.7" right="0.7" top="0.75" bottom="0.75" header="0.3" footer="0.3"/>
  <pageSetup orientation="landscape"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sheetPr>
  <dimension ref="B1:U96"/>
  <sheetViews>
    <sheetView showGridLines="0" zoomScale="70" zoomScaleNormal="70" workbookViewId="0">
      <selection activeCell="H5" sqref="H5"/>
    </sheetView>
  </sheetViews>
  <sheetFormatPr defaultColWidth="9.140625" defaultRowHeight="15.6"/>
  <cols>
    <col min="1" max="2" width="2.85546875" style="4" customWidth="1"/>
    <col min="3" max="3" width="40" style="4" customWidth="1"/>
    <col min="4" max="4" width="25.42578125" style="4" customWidth="1"/>
    <col min="5" max="5" width="32.5703125" style="4" customWidth="1"/>
    <col min="6" max="6" width="39.5703125" style="10" customWidth="1"/>
    <col min="7" max="9" width="25.42578125" style="8" customWidth="1"/>
    <col min="10" max="11" width="25.42578125" style="4" customWidth="1"/>
    <col min="12" max="12" width="25.140625" style="4" customWidth="1"/>
    <col min="13" max="13" width="9.140625" style="4" customWidth="1"/>
    <col min="14" max="14" width="24.42578125" style="4" customWidth="1"/>
    <col min="15" max="15" width="21.5703125" style="4" customWidth="1"/>
    <col min="16" max="16" width="17" style="4" customWidth="1"/>
    <col min="17" max="17" width="19.5703125" style="4" customWidth="1"/>
    <col min="18" max="16384" width="9.140625" style="4"/>
  </cols>
  <sheetData>
    <row r="1" spans="2:21" s="3" customFormat="1">
      <c r="B1" s="1"/>
      <c r="C1" s="2"/>
      <c r="D1" s="2"/>
    </row>
    <row r="2" spans="2:21">
      <c r="C2" s="5" t="s">
        <v>188</v>
      </c>
      <c r="D2" s="6"/>
      <c r="E2" s="6"/>
      <c r="F2" s="7"/>
    </row>
    <row r="3" spans="2:21" ht="33.75" customHeight="1"/>
    <row r="4" spans="2:21" ht="15.95" thickBot="1">
      <c r="C4" s="9" t="s">
        <v>189</v>
      </c>
    </row>
    <row r="5" spans="2:21" ht="111.75" customHeight="1" thickBot="1">
      <c r="C5" s="490" t="s">
        <v>190</v>
      </c>
      <c r="D5" s="490"/>
      <c r="E5" s="490"/>
      <c r="F5" s="490"/>
      <c r="G5" s="490"/>
      <c r="H5" s="370" t="s">
        <v>191</v>
      </c>
      <c r="I5" s="252"/>
    </row>
    <row r="6" spans="2:21">
      <c r="C6" s="9" t="s">
        <v>192</v>
      </c>
      <c r="N6" s="11"/>
    </row>
    <row r="8" spans="2:21" ht="18.95" customHeight="1">
      <c r="C8" s="12" t="s">
        <v>193</v>
      </c>
      <c r="D8" s="12" t="s">
        <v>194</v>
      </c>
      <c r="E8" s="13" t="s">
        <v>95</v>
      </c>
      <c r="F8" s="14" t="s">
        <v>195</v>
      </c>
      <c r="G8" s="13" t="s">
        <v>95</v>
      </c>
      <c r="H8" s="13"/>
      <c r="I8" s="13"/>
      <c r="J8" s="15" t="s">
        <v>96</v>
      </c>
    </row>
    <row r="9" spans="2:21" ht="18.95" customHeight="1">
      <c r="B9" s="16">
        <v>1</v>
      </c>
      <c r="C9" s="17" t="s">
        <v>67</v>
      </c>
      <c r="D9" s="18">
        <v>15</v>
      </c>
      <c r="E9" s="19">
        <f>IF(C9="","",IF('3. Basic Input &amp; Assumptions'!E6&gt;0,VLOOKUP(C9,'3. Basic Input &amp; Assumptions'!$C$27:$F$32,4,FALSE),VLOOKUP(C9,'3. Basic Input &amp; Assumptions'!$C$27:$F$32,2,FALSE)))</f>
        <v>10</v>
      </c>
      <c r="F9" s="18"/>
      <c r="G9" s="19">
        <f>IF(C9="","",IF('3. Basic Input &amp; Assumptions'!E6&gt;0,VLOOKUP(C9,'3. Basic Input &amp; Assumptions'!$C$27:$F$32,4,FALSE),VLOOKUP(C9,'3. Basic Input &amp; Assumptions'!$C$27:$F$32,3,FALSE)))</f>
        <v>15</v>
      </c>
      <c r="H9" s="277"/>
      <c r="I9" s="277"/>
      <c r="J9" s="20">
        <f>IF(D9&gt;0,D9/E9,0)+IF(F9&gt;0,F9/G9,0)</f>
        <v>1.5</v>
      </c>
    </row>
    <row r="10" spans="2:21" ht="18.95" customHeight="1">
      <c r="B10" s="16">
        <v>2</v>
      </c>
      <c r="C10" s="17" t="s">
        <v>68</v>
      </c>
      <c r="D10" s="18">
        <v>20</v>
      </c>
      <c r="E10" s="19">
        <f>IF(C10="","",IF('3. Basic Input &amp; Assumptions'!E6&gt;0,VLOOKUP(C10,'3. Basic Input &amp; Assumptions'!$C$27:$F$32,4,FALSE),VLOOKUP(C10,'3. Basic Input &amp; Assumptions'!$C$27:$F$32,2,FALSE)))</f>
        <v>10</v>
      </c>
      <c r="F10" s="18"/>
      <c r="G10" s="19">
        <f>IF(C10="","",IF('3. Basic Input &amp; Assumptions'!E6&gt;0,VLOOKUP(C10,'3. Basic Input &amp; Assumptions'!$C$27:$F$32,4,FALSE),VLOOKUP(C10,'3. Basic Input &amp; Assumptions'!$C$27:$F$32,3,FALSE)))</f>
        <v>15</v>
      </c>
      <c r="H10" s="277"/>
      <c r="I10" s="277"/>
      <c r="J10" s="20">
        <f>IF(D10&gt;0,D10/E10,0)+IF(F10&gt;0,F10/G10,0)</f>
        <v>2</v>
      </c>
    </row>
    <row r="11" spans="2:21" ht="18.95" customHeight="1">
      <c r="B11" s="16">
        <v>3</v>
      </c>
      <c r="C11" s="17" t="s">
        <v>69</v>
      </c>
      <c r="D11" s="18"/>
      <c r="E11" s="19">
        <f>IF(C11="","",IF('3. Basic Input &amp; Assumptions'!E6&gt;0,VLOOKUP(C11,'3. Basic Input &amp; Assumptions'!$C$27:$F$32,4,FALSE),VLOOKUP(C11,'3. Basic Input &amp; Assumptions'!$C$27:$F$32,2,FALSE)))</f>
        <v>10</v>
      </c>
      <c r="F11" s="18">
        <v>35</v>
      </c>
      <c r="G11" s="19">
        <f>IF(C11="","",IF('3. Basic Input &amp; Assumptions'!E6&gt;0,VLOOKUP(C11,'3. Basic Input &amp; Assumptions'!$C$27:$F$32,4,FALSE),VLOOKUP(C11,'3. Basic Input &amp; Assumptions'!$C$27:$F$32,3,FALSE)))</f>
        <v>10</v>
      </c>
      <c r="H11" s="277"/>
      <c r="I11" s="277"/>
      <c r="J11" s="20">
        <f>IF(D11&gt;0,D11/E11,0)+IF(F11&gt;0,F11/G11,0)</f>
        <v>3.5</v>
      </c>
    </row>
    <row r="12" spans="2:21" ht="18.95" customHeight="1">
      <c r="B12" s="21">
        <v>4</v>
      </c>
      <c r="C12" s="17" t="s">
        <v>71</v>
      </c>
      <c r="D12" s="18">
        <v>10</v>
      </c>
      <c r="E12" s="19">
        <f>IF(C12="","",IF('3. Basic Input &amp; Assumptions'!E6&gt;0,VLOOKUP(C12,'3. Basic Input &amp; Assumptions'!$C$27:$F$32,4,FALSE),VLOOKUP(C12,'3. Basic Input &amp; Assumptions'!$C$27:$F$32,2,FALSE)))</f>
        <v>10</v>
      </c>
      <c r="F12" s="18"/>
      <c r="G12" s="19">
        <f>IF(C12="","",IF('3. Basic Input &amp; Assumptions'!E6&gt;0,VLOOKUP(C12,'3. Basic Input &amp; Assumptions'!$C$27:$F$32,4,FALSE),VLOOKUP(C12,'3. Basic Input &amp; Assumptions'!$C$27:$F$32,3,FALSE)))</f>
        <v>15</v>
      </c>
      <c r="H12" s="277"/>
      <c r="I12" s="277"/>
      <c r="J12" s="20">
        <f>IF(D12&gt;0,D12/E12,0)+IF(F12&gt;0,F12/G12,0)</f>
        <v>1</v>
      </c>
    </row>
    <row r="13" spans="2:21" ht="18.95" customHeight="1" thickBot="1">
      <c r="B13" s="21">
        <v>5</v>
      </c>
      <c r="C13" s="22" t="s">
        <v>72</v>
      </c>
      <c r="D13" s="23"/>
      <c r="E13" s="24">
        <f>IF(C13="","",IF('3. Basic Input &amp; Assumptions'!E6&gt;0,VLOOKUP(C13,'3. Basic Input &amp; Assumptions'!$C$27:$F$32,4,FALSE),VLOOKUP(C13,'3. Basic Input &amp; Assumptions'!$C$27:$F$32,2,FALSE)))</f>
        <v>10</v>
      </c>
      <c r="F13" s="25">
        <v>20</v>
      </c>
      <c r="G13" s="26">
        <f>IF(C13="","",IF('3. Basic Input &amp; Assumptions'!E6&gt;0,VLOOKUP(C13,'3. Basic Input &amp; Assumptions'!$C$27:$F$32,4,FALSE),VLOOKUP(C13,'3. Basic Input &amp; Assumptions'!$C$27:$F$32,3,FALSE)))</f>
        <v>15</v>
      </c>
      <c r="H13" s="277"/>
      <c r="I13" s="277"/>
      <c r="J13" s="20">
        <f>IF(D13&gt;0,D13/E13,0)+IF(F13&gt;0,F13/G13,0)</f>
        <v>1.3333333333333333</v>
      </c>
    </row>
    <row r="14" spans="2:21" ht="15.95" thickBot="1">
      <c r="C14" s="27" t="s">
        <v>97</v>
      </c>
      <c r="D14" s="28">
        <f>SUM(D9:D13)</f>
        <v>45</v>
      </c>
      <c r="E14" s="29"/>
      <c r="F14" s="30">
        <f>SUM(F9:F13)</f>
        <v>55</v>
      </c>
      <c r="G14" s="31"/>
      <c r="H14" s="59"/>
      <c r="I14" s="59"/>
      <c r="J14" s="292"/>
    </row>
    <row r="15" spans="2:21">
      <c r="C15" s="11"/>
    </row>
    <row r="16" spans="2:21">
      <c r="N16" s="11"/>
      <c r="R16" s="9"/>
      <c r="S16" s="9"/>
      <c r="T16" s="9"/>
      <c r="U16" s="9"/>
    </row>
    <row r="17" spans="3:14" ht="57" customHeight="1">
      <c r="C17" s="512" t="s">
        <v>196</v>
      </c>
      <c r="D17" s="512"/>
      <c r="E17" s="512"/>
      <c r="F17" s="512"/>
      <c r="G17" s="512"/>
      <c r="H17" s="266"/>
      <c r="I17" s="266"/>
    </row>
    <row r="18" spans="3:14">
      <c r="N18" s="11"/>
    </row>
    <row r="19" spans="3:14">
      <c r="D19" s="32" t="s">
        <v>101</v>
      </c>
      <c r="E19" s="32" t="s">
        <v>102</v>
      </c>
      <c r="F19" s="32"/>
      <c r="K19" s="32"/>
    </row>
    <row r="20" spans="3:14">
      <c r="C20" s="33" t="s">
        <v>103</v>
      </c>
      <c r="D20" s="34">
        <v>0.5</v>
      </c>
      <c r="E20" s="35">
        <v>68000</v>
      </c>
      <c r="F20" s="507">
        <f>ROUNDUP(D25/50,0)</f>
        <v>1</v>
      </c>
      <c r="G20" s="508"/>
      <c r="H20" s="508"/>
      <c r="I20" s="508"/>
      <c r="J20" s="508"/>
    </row>
    <row r="21" spans="3:14">
      <c r="C21" s="33" t="s">
        <v>105</v>
      </c>
      <c r="D21" s="34">
        <f>ROUNDUP(D25/15,0)</f>
        <v>1</v>
      </c>
      <c r="E21" s="35">
        <v>36000</v>
      </c>
      <c r="F21" s="507">
        <f>ROUNDUP(D25/15,0)</f>
        <v>1</v>
      </c>
      <c r="G21" s="508"/>
      <c r="H21" s="508"/>
      <c r="I21" s="508"/>
      <c r="J21" s="508"/>
    </row>
    <row r="22" spans="3:14" ht="30.95">
      <c r="C22" s="36" t="s">
        <v>197</v>
      </c>
      <c r="D22" s="34">
        <v>0.5</v>
      </c>
      <c r="E22" s="35">
        <v>64000</v>
      </c>
      <c r="F22" s="37"/>
      <c r="G22" s="37"/>
      <c r="H22" s="37"/>
      <c r="I22" s="37"/>
      <c r="J22" s="252"/>
      <c r="L22" s="38"/>
      <c r="M22" s="38"/>
    </row>
    <row r="23" spans="3:14">
      <c r="C23" s="33" t="s">
        <v>198</v>
      </c>
      <c r="D23" s="34"/>
      <c r="E23" s="35">
        <v>50000</v>
      </c>
      <c r="F23" s="37"/>
      <c r="G23" s="37"/>
      <c r="H23" s="37"/>
      <c r="I23" s="37"/>
      <c r="J23" s="252"/>
    </row>
    <row r="24" spans="3:14">
      <c r="C24" s="39" t="s">
        <v>199</v>
      </c>
      <c r="D24" s="40">
        <f>((D25)/('3. Basic Input &amp; Assumptions'!D50))</f>
        <v>1.25</v>
      </c>
      <c r="E24" s="41">
        <v>55000</v>
      </c>
      <c r="F24" s="507">
        <f>ROUNDUP(D25/8,0)</f>
        <v>2</v>
      </c>
      <c r="G24" s="508"/>
      <c r="H24" s="508"/>
      <c r="I24" s="508"/>
      <c r="J24" s="508"/>
    </row>
    <row r="25" spans="3:14">
      <c r="C25" s="42" t="s">
        <v>200</v>
      </c>
      <c r="D25" s="43">
        <f>ROUNDUP(SUM(J9:J13),0)</f>
        <v>10</v>
      </c>
      <c r="E25" s="44"/>
      <c r="F25" s="510">
        <f>ROUNDUP(SUM(J9:J13),0)</f>
        <v>10</v>
      </c>
      <c r="G25" s="511"/>
      <c r="H25" s="511"/>
      <c r="I25" s="511"/>
      <c r="J25" s="511"/>
    </row>
    <row r="26" spans="3:14">
      <c r="C26" s="45" t="s">
        <v>201</v>
      </c>
      <c r="D26" s="34">
        <v>1</v>
      </c>
      <c r="E26" s="35">
        <v>45000</v>
      </c>
      <c r="F26" s="507"/>
      <c r="G26" s="509"/>
      <c r="H26" s="509"/>
      <c r="I26" s="509"/>
      <c r="J26" s="509"/>
    </row>
    <row r="27" spans="3:14">
      <c r="C27" s="45" t="s">
        <v>112</v>
      </c>
      <c r="D27" s="34">
        <v>2</v>
      </c>
      <c r="E27" s="35">
        <v>40000</v>
      </c>
      <c r="F27" s="507"/>
      <c r="G27" s="508"/>
      <c r="H27" s="508"/>
      <c r="I27" s="508"/>
      <c r="J27" s="508"/>
    </row>
    <row r="28" spans="3:14">
      <c r="C28" s="46" t="s">
        <v>202</v>
      </c>
      <c r="D28" s="47">
        <v>1</v>
      </c>
      <c r="E28" s="48">
        <v>52000</v>
      </c>
      <c r="F28" s="49"/>
    </row>
    <row r="29" spans="3:14">
      <c r="C29" s="45" t="s">
        <v>203</v>
      </c>
      <c r="D29" s="34">
        <v>2</v>
      </c>
      <c r="E29" s="35">
        <v>48000</v>
      </c>
      <c r="F29" s="49"/>
      <c r="G29" s="49"/>
      <c r="H29" s="49"/>
      <c r="I29" s="49"/>
      <c r="J29" s="49"/>
    </row>
    <row r="30" spans="3:14">
      <c r="C30" s="45" t="s">
        <v>204</v>
      </c>
      <c r="D30" s="34">
        <v>2</v>
      </c>
      <c r="E30" s="35">
        <v>45000</v>
      </c>
      <c r="F30" s="49"/>
      <c r="G30" s="49"/>
      <c r="H30" s="49"/>
      <c r="I30" s="49"/>
      <c r="J30" s="49"/>
    </row>
    <row r="31" spans="3:14">
      <c r="C31" s="45" t="s">
        <v>205</v>
      </c>
      <c r="D31" s="34">
        <v>2</v>
      </c>
      <c r="E31" s="35">
        <v>45000</v>
      </c>
      <c r="F31" s="49"/>
      <c r="G31" s="49"/>
      <c r="H31" s="49"/>
      <c r="I31" s="49"/>
      <c r="J31" s="49"/>
    </row>
    <row r="32" spans="3:14">
      <c r="C32" s="42" t="s">
        <v>206</v>
      </c>
      <c r="D32" s="43">
        <f>SUM(D26:D31)</f>
        <v>10</v>
      </c>
      <c r="E32" s="44"/>
      <c r="F32" s="505">
        <f>SUM(D26:D31)</f>
        <v>10</v>
      </c>
      <c r="G32" s="506"/>
      <c r="H32" s="506"/>
      <c r="I32" s="506"/>
      <c r="J32" s="506"/>
    </row>
    <row r="33" spans="3:12" ht="15.95" thickBot="1">
      <c r="C33" s="12"/>
      <c r="D33" s="168"/>
      <c r="E33" s="169"/>
      <c r="F33" s="170"/>
      <c r="G33" s="170"/>
      <c r="H33" s="170"/>
      <c r="I33" s="170"/>
      <c r="J33" s="170"/>
    </row>
    <row r="34" spans="3:12">
      <c r="C34" s="230" t="s">
        <v>207</v>
      </c>
      <c r="D34" s="231"/>
      <c r="E34" s="231"/>
      <c r="F34" s="232"/>
      <c r="G34" s="233"/>
    </row>
    <row r="35" spans="3:12">
      <c r="C35" s="234" t="s">
        <v>115</v>
      </c>
      <c r="D35" s="223"/>
      <c r="E35" s="495" t="s">
        <v>116</v>
      </c>
      <c r="F35" s="495"/>
      <c r="G35" s="496"/>
      <c r="H35" s="263"/>
      <c r="I35" s="263"/>
    </row>
    <row r="36" spans="3:12">
      <c r="C36" s="235" t="s">
        <v>117</v>
      </c>
      <c r="D36" s="51">
        <v>40</v>
      </c>
      <c r="E36" s="497" t="s">
        <v>118</v>
      </c>
      <c r="F36" s="498"/>
      <c r="G36" s="499"/>
      <c r="H36" s="264"/>
      <c r="I36" s="264"/>
    </row>
    <row r="37" spans="3:12">
      <c r="C37" s="236" t="s">
        <v>208</v>
      </c>
      <c r="D37" s="51">
        <v>4</v>
      </c>
      <c r="E37" s="497" t="s">
        <v>209</v>
      </c>
      <c r="F37" s="498"/>
      <c r="G37" s="499"/>
      <c r="H37" s="264"/>
      <c r="I37" s="264"/>
    </row>
    <row r="38" spans="3:12">
      <c r="C38" s="236" t="s">
        <v>121</v>
      </c>
      <c r="D38" s="53">
        <v>0.75</v>
      </c>
      <c r="E38" s="497" t="s">
        <v>122</v>
      </c>
      <c r="F38" s="498"/>
      <c r="G38" s="499"/>
      <c r="H38" s="264"/>
      <c r="I38" s="264"/>
    </row>
    <row r="39" spans="3:12">
      <c r="C39" s="235" t="s">
        <v>123</v>
      </c>
      <c r="D39" s="51">
        <v>10</v>
      </c>
      <c r="E39" s="497" t="s">
        <v>124</v>
      </c>
      <c r="F39" s="498"/>
      <c r="G39" s="499"/>
      <c r="H39" s="264"/>
      <c r="I39" s="264"/>
    </row>
    <row r="40" spans="3:12">
      <c r="C40" s="236" t="s">
        <v>125</v>
      </c>
      <c r="D40" s="51">
        <v>20</v>
      </c>
      <c r="E40" s="497" t="s">
        <v>126</v>
      </c>
      <c r="F40" s="498"/>
      <c r="G40" s="499"/>
      <c r="H40" s="264"/>
      <c r="I40" s="264"/>
    </row>
    <row r="41" spans="3:12">
      <c r="C41" s="236" t="s">
        <v>127</v>
      </c>
      <c r="D41" s="51">
        <v>3</v>
      </c>
      <c r="E41" s="497" t="s">
        <v>128</v>
      </c>
      <c r="F41" s="498"/>
      <c r="G41" s="499"/>
      <c r="H41" s="264"/>
      <c r="I41" s="264"/>
    </row>
    <row r="42" spans="3:12" ht="15.95" thickBot="1">
      <c r="C42" s="237" t="s">
        <v>129</v>
      </c>
      <c r="D42" s="55">
        <v>1</v>
      </c>
      <c r="E42" s="497" t="s">
        <v>130</v>
      </c>
      <c r="F42" s="498"/>
      <c r="G42" s="499"/>
      <c r="H42" s="264"/>
      <c r="I42" s="264"/>
    </row>
    <row r="43" spans="3:12">
      <c r="C43" s="238" t="s">
        <v>131</v>
      </c>
      <c r="D43" s="57">
        <f>IF(D39="","",(52-(SUM(D39:D42)/5))*$D$36*$D$37*$D$38)</f>
        <v>5424</v>
      </c>
      <c r="G43" s="239"/>
    </row>
    <row r="44" spans="3:12" ht="15.95" thickBot="1">
      <c r="C44" s="240" t="s">
        <v>132</v>
      </c>
      <c r="D44" s="241">
        <f>(52*5)-(SUM(D39:D42))</f>
        <v>226</v>
      </c>
      <c r="E44" s="242"/>
      <c r="F44" s="243"/>
      <c r="G44" s="244"/>
    </row>
    <row r="45" spans="3:12">
      <c r="C45" s="10"/>
      <c r="D45" s="59"/>
    </row>
    <row r="46" spans="3:12">
      <c r="C46" s="9" t="s">
        <v>133</v>
      </c>
      <c r="F46" s="11"/>
    </row>
    <row r="47" spans="3:12">
      <c r="F47" s="491" t="s">
        <v>210</v>
      </c>
      <c r="G47" s="501"/>
      <c r="H47" s="501"/>
      <c r="I47" s="501"/>
      <c r="J47" s="501"/>
      <c r="K47" s="501"/>
      <c r="L47" s="492"/>
    </row>
    <row r="48" spans="3:12">
      <c r="C48" s="491" t="s">
        <v>211</v>
      </c>
      <c r="D48" s="492"/>
      <c r="E48" s="60"/>
      <c r="F48" s="253"/>
      <c r="G48" s="254" t="s">
        <v>136</v>
      </c>
      <c r="H48" s="254" t="s">
        <v>137</v>
      </c>
      <c r="I48" s="254" t="s">
        <v>138</v>
      </c>
      <c r="J48" s="254" t="s">
        <v>139</v>
      </c>
      <c r="K48" s="254" t="s">
        <v>140</v>
      </c>
      <c r="L48" s="254" t="s">
        <v>141</v>
      </c>
    </row>
    <row r="49" spans="3:12">
      <c r="C49" s="163" t="s">
        <v>142</v>
      </c>
      <c r="D49" s="62"/>
      <c r="E49" s="63"/>
      <c r="F49" s="158" t="s">
        <v>142</v>
      </c>
      <c r="G49" s="62"/>
      <c r="H49" s="62"/>
      <c r="I49" s="62"/>
      <c r="J49" s="62"/>
      <c r="K49" s="62"/>
      <c r="L49" s="62"/>
    </row>
    <row r="50" spans="3:12">
      <c r="C50" s="64" t="s">
        <v>143</v>
      </c>
      <c r="D50" s="65">
        <f>SUMPRODUCT(D20:D31,E20:E31)</f>
        <v>623750</v>
      </c>
      <c r="E50" s="66"/>
      <c r="F50" s="73" t="s">
        <v>143</v>
      </c>
      <c r="G50" s="65" t="e">
        <f>SUM(I50:L50)</f>
        <v>#REF!</v>
      </c>
      <c r="H50" s="267" t="e">
        <f>IF(OR('6. New Medicaid Provider Costs'!#REF!="Apply to ICM Tab 5",'6. New Medicaid Provider Costs'!#REF!="Apply to All"),SUM('6. New Medicaid Provider Costs'!$I$11:$I$13),0)</f>
        <v>#REF!</v>
      </c>
      <c r="I50" s="65"/>
      <c r="J50" s="65" t="e">
        <f>D50+H50</f>
        <v>#REF!</v>
      </c>
      <c r="K50" s="65" t="e">
        <f>J50*(1+$G$96)</f>
        <v>#REF!</v>
      </c>
      <c r="L50" s="65" t="e">
        <f>K50*(1+$G$96)</f>
        <v>#REF!</v>
      </c>
    </row>
    <row r="51" spans="3:12">
      <c r="C51" s="64" t="s">
        <v>144</v>
      </c>
      <c r="D51" s="65">
        <f>D50*'3. Basic Input &amp; Assumptions'!$H$19</f>
        <v>176271.75</v>
      </c>
      <c r="E51" s="66"/>
      <c r="F51" s="73" t="s">
        <v>144</v>
      </c>
      <c r="G51" s="65" t="e">
        <f t="shared" ref="G51:G54" si="0">SUM(I51:L51)</f>
        <v>#REF!</v>
      </c>
      <c r="H51" s="267" t="e">
        <f>IF(OR('6. New Medicaid Provider Costs'!#REF!="Apply to ICM Tab 5",'6. New Medicaid Provider Costs'!#REF!="Apply to All"),SUM('6. New Medicaid Provider Costs'!$I$11:$I$13)*'3. Basic Input &amp; Assumptions'!$H$19,0)</f>
        <v>#REF!</v>
      </c>
      <c r="I51" s="65"/>
      <c r="J51" s="65" t="e">
        <f>J50*'3. Basic Input &amp; Assumptions'!$H$19</f>
        <v>#REF!</v>
      </c>
      <c r="K51" s="65" t="e">
        <f>K50*'3. Basic Input &amp; Assumptions'!$H$19</f>
        <v>#REF!</v>
      </c>
      <c r="L51" s="65" t="e">
        <f>L50*'3. Basic Input &amp; Assumptions'!$H$19</f>
        <v>#REF!</v>
      </c>
    </row>
    <row r="52" spans="3:12">
      <c r="C52" s="64" t="s">
        <v>145</v>
      </c>
      <c r="D52" s="67"/>
      <c r="E52" s="66"/>
      <c r="F52" s="73" t="s">
        <v>145</v>
      </c>
      <c r="G52" s="67" t="e">
        <f t="shared" si="0"/>
        <v>#REF!</v>
      </c>
      <c r="H52" s="267" t="e">
        <f>IF(OR('6. New Medicaid Provider Costs'!#REF!="Apply to ICM Tab 5",'6. New Medicaid Provider Costs'!#REF!="Apply to All"),SUM('6. New Medicaid Provider Costs'!$I$15:$I$16),0)</f>
        <v>#REF!</v>
      </c>
      <c r="I52" s="65"/>
      <c r="J52" s="67" t="e">
        <f>D52+H52</f>
        <v>#REF!</v>
      </c>
      <c r="K52" s="67" t="e">
        <f t="shared" ref="K52:L54" si="1">J52*(1+$G$96)</f>
        <v>#REF!</v>
      </c>
      <c r="L52" s="67" t="e">
        <f t="shared" si="1"/>
        <v>#REF!</v>
      </c>
    </row>
    <row r="53" spans="3:12">
      <c r="C53" s="64" t="s">
        <v>146</v>
      </c>
      <c r="D53" s="67"/>
      <c r="E53" s="66"/>
      <c r="F53" s="73" t="s">
        <v>146</v>
      </c>
      <c r="G53" s="67" t="e">
        <f t="shared" si="0"/>
        <v>#REF!</v>
      </c>
      <c r="H53" s="267" t="e">
        <f>IF(OR('6. New Medicaid Provider Costs'!#REF!="Apply to ICM Tab 5",'6. New Medicaid Provider Costs'!#REF!="Apply to All"),'6. New Medicaid Provider Costs'!$I$18,0)</f>
        <v>#REF!</v>
      </c>
      <c r="I53" s="267">
        <f>SUM('5. General Start Up Cost'!$F$10:$F$15)</f>
        <v>4500</v>
      </c>
      <c r="J53" s="67" t="e">
        <f t="shared" ref="J53:J54" si="2">D53+H53</f>
        <v>#REF!</v>
      </c>
      <c r="K53" s="67" t="e">
        <f t="shared" si="1"/>
        <v>#REF!</v>
      </c>
      <c r="L53" s="67" t="e">
        <f t="shared" si="1"/>
        <v>#REF!</v>
      </c>
    </row>
    <row r="54" spans="3:12">
      <c r="C54" s="367" t="s">
        <v>147</v>
      </c>
      <c r="D54" s="68">
        <f>D50*('3. Basic Input &amp; Assumptions'!H18)</f>
        <v>9356.25</v>
      </c>
      <c r="E54" s="201" t="s">
        <v>148</v>
      </c>
      <c r="F54" s="153" t="s">
        <v>147</v>
      </c>
      <c r="G54" s="68" t="e">
        <f t="shared" si="0"/>
        <v>#REF!</v>
      </c>
      <c r="H54" s="317" t="e">
        <f>IF(OR('6. New Medicaid Provider Costs'!#REF!="Apply to ICM Tab 5",'6. New Medicaid Provider Costs'!#REF!="Apply to All"),SUM('6. New Medicaid Provider Costs'!$I$20:$I$22),0)</f>
        <v>#REF!</v>
      </c>
      <c r="I54" s="268">
        <f>SUM('5. General Start Up Cost'!$F$17:$F$20)</f>
        <v>0</v>
      </c>
      <c r="J54" s="362" t="e">
        <f t="shared" si="2"/>
        <v>#REF!</v>
      </c>
      <c r="K54" s="68" t="e">
        <f t="shared" si="1"/>
        <v>#REF!</v>
      </c>
      <c r="L54" s="68" t="e">
        <f t="shared" si="1"/>
        <v>#REF!</v>
      </c>
    </row>
    <row r="55" spans="3:12">
      <c r="C55" s="69" t="s">
        <v>149</v>
      </c>
      <c r="D55" s="62">
        <f>SUM(D50:D54)</f>
        <v>809378</v>
      </c>
      <c r="E55" s="66"/>
      <c r="F55" s="70" t="s">
        <v>149</v>
      </c>
      <c r="G55" s="62" t="e">
        <f>SUM(I55:L55)</f>
        <v>#REF!</v>
      </c>
      <c r="H55" s="272" t="e">
        <f>SUM(H50:H54)</f>
        <v>#REF!</v>
      </c>
      <c r="I55" s="62">
        <f>SUM(I50:I54)</f>
        <v>4500</v>
      </c>
      <c r="J55" s="62" t="e">
        <f>SUM(J50:J54)</f>
        <v>#REF!</v>
      </c>
      <c r="K55" s="62" t="e">
        <f>SUM(K50:K54)</f>
        <v>#REF!</v>
      </c>
      <c r="L55" s="62" t="e">
        <f>SUM(L50:L54)</f>
        <v>#REF!</v>
      </c>
    </row>
    <row r="56" spans="3:12">
      <c r="C56" s="71"/>
      <c r="D56" s="65"/>
      <c r="E56" s="66"/>
      <c r="F56" s="72"/>
      <c r="G56" s="65"/>
      <c r="H56" s="65"/>
      <c r="I56" s="65"/>
      <c r="J56" s="65"/>
      <c r="K56" s="65"/>
      <c r="L56" s="65"/>
    </row>
    <row r="57" spans="3:12">
      <c r="C57" s="162" t="s">
        <v>150</v>
      </c>
      <c r="D57" s="65"/>
      <c r="E57" s="66"/>
      <c r="F57" s="159" t="s">
        <v>150</v>
      </c>
      <c r="G57" s="65"/>
      <c r="H57" s="65"/>
      <c r="I57" s="65"/>
      <c r="J57" s="65"/>
      <c r="K57" s="65"/>
      <c r="L57" s="65"/>
    </row>
    <row r="58" spans="3:12">
      <c r="C58" s="64" t="s">
        <v>151</v>
      </c>
      <c r="D58" s="67">
        <v>36500</v>
      </c>
      <c r="E58" s="66"/>
      <c r="F58" s="73" t="s">
        <v>151</v>
      </c>
      <c r="G58" s="67">
        <f>SUM(I58:L58)</f>
        <v>116760.3125</v>
      </c>
      <c r="H58" s="65"/>
      <c r="I58" s="267">
        <f>'5. General Start Up Cost'!$F$24</f>
        <v>4500</v>
      </c>
      <c r="J58" s="67">
        <f t="shared" ref="J58:J76" si="3">D58</f>
        <v>36500</v>
      </c>
      <c r="K58" s="67">
        <f>J58*(1+$G$96)</f>
        <v>37412.5</v>
      </c>
      <c r="L58" s="67">
        <f t="shared" ref="K58:L64" si="4">K58*(1+$G$96)</f>
        <v>38347.8125</v>
      </c>
    </row>
    <row r="59" spans="3:12">
      <c r="C59" s="64" t="s">
        <v>152</v>
      </c>
      <c r="D59" s="67">
        <v>9500</v>
      </c>
      <c r="E59" s="66"/>
      <c r="F59" s="73" t="s">
        <v>152</v>
      </c>
      <c r="G59" s="67">
        <f t="shared" ref="G59:G64" si="5">SUM(I59:L59)</f>
        <v>29218.4375</v>
      </c>
      <c r="H59" s="65"/>
      <c r="I59" s="267">
        <f>'5. General Start Up Cost'!$F$25</f>
        <v>0</v>
      </c>
      <c r="J59" s="67">
        <f t="shared" si="3"/>
        <v>9500</v>
      </c>
      <c r="K59" s="67">
        <f t="shared" si="4"/>
        <v>9737.5</v>
      </c>
      <c r="L59" s="67">
        <f t="shared" si="4"/>
        <v>9980.9375</v>
      </c>
    </row>
    <row r="60" spans="3:12">
      <c r="C60" s="64" t="s">
        <v>153</v>
      </c>
      <c r="D60" s="67">
        <v>12500</v>
      </c>
      <c r="E60" s="66"/>
      <c r="F60" s="73" t="s">
        <v>153</v>
      </c>
      <c r="G60" s="67">
        <f t="shared" si="5"/>
        <v>38445.3125</v>
      </c>
      <c r="H60" s="65"/>
      <c r="I60" s="267">
        <f>'5. General Start Up Cost'!$F$26</f>
        <v>0</v>
      </c>
      <c r="J60" s="67">
        <f t="shared" si="3"/>
        <v>12500</v>
      </c>
      <c r="K60" s="67">
        <f t="shared" si="4"/>
        <v>12812.499999999998</v>
      </c>
      <c r="L60" s="67">
        <f t="shared" si="4"/>
        <v>13132.812499999996</v>
      </c>
    </row>
    <row r="61" spans="3:12">
      <c r="C61" s="64" t="s">
        <v>154</v>
      </c>
      <c r="D61" s="67">
        <v>10000</v>
      </c>
      <c r="E61" s="66"/>
      <c r="F61" s="73" t="s">
        <v>154</v>
      </c>
      <c r="G61" s="67">
        <f t="shared" si="5"/>
        <v>30756.25</v>
      </c>
      <c r="H61" s="65"/>
      <c r="I61" s="65"/>
      <c r="J61" s="67">
        <f t="shared" si="3"/>
        <v>10000</v>
      </c>
      <c r="K61" s="67">
        <f t="shared" si="4"/>
        <v>10250</v>
      </c>
      <c r="L61" s="67">
        <f t="shared" si="4"/>
        <v>10506.249999999998</v>
      </c>
    </row>
    <row r="62" spans="3:12" ht="19.5" customHeight="1">
      <c r="C62" s="73" t="s">
        <v>155</v>
      </c>
      <c r="D62" s="67">
        <v>9600</v>
      </c>
      <c r="E62" s="66"/>
      <c r="F62" s="73" t="s">
        <v>155</v>
      </c>
      <c r="G62" s="67">
        <f t="shared" si="5"/>
        <v>29526</v>
      </c>
      <c r="H62" s="65"/>
      <c r="I62" s="267">
        <f>'5. General Start Up Cost'!$F$27</f>
        <v>0</v>
      </c>
      <c r="J62" s="67">
        <f t="shared" si="3"/>
        <v>9600</v>
      </c>
      <c r="K62" s="67">
        <f t="shared" si="4"/>
        <v>9840</v>
      </c>
      <c r="L62" s="67">
        <f t="shared" si="4"/>
        <v>10086</v>
      </c>
    </row>
    <row r="63" spans="3:12">
      <c r="C63" s="64" t="s">
        <v>156</v>
      </c>
      <c r="D63" s="67">
        <v>5000</v>
      </c>
      <c r="F63" s="73" t="s">
        <v>156</v>
      </c>
      <c r="G63" s="67">
        <f t="shared" si="5"/>
        <v>15378.125</v>
      </c>
      <c r="H63" s="65"/>
      <c r="I63" s="267">
        <f>'5. General Start Up Cost'!$F$28</f>
        <v>0</v>
      </c>
      <c r="J63" s="67">
        <f t="shared" si="3"/>
        <v>5000</v>
      </c>
      <c r="K63" s="67">
        <f t="shared" si="4"/>
        <v>5125</v>
      </c>
      <c r="L63" s="67">
        <f t="shared" si="4"/>
        <v>5253.1249999999991</v>
      </c>
    </row>
    <row r="64" spans="3:12">
      <c r="C64" s="64" t="s">
        <v>212</v>
      </c>
      <c r="D64" s="67">
        <v>0</v>
      </c>
      <c r="E64" s="66"/>
      <c r="F64" s="73" t="s">
        <v>157</v>
      </c>
      <c r="G64" s="67" t="e">
        <f t="shared" si="5"/>
        <v>#REF!</v>
      </c>
      <c r="H64" s="267" t="e">
        <f>IF(OR('6. New Medicaid Provider Costs'!#REF!="Apply to ICM Tab 5",'6. New Medicaid Provider Costs'!#REF!="Apply to All"),'6. New Medicaid Provider Costs'!$I$28,0)</f>
        <v>#REF!</v>
      </c>
      <c r="I64" s="65"/>
      <c r="J64" s="67" t="e">
        <f>D64+H64</f>
        <v>#REF!</v>
      </c>
      <c r="K64" s="67" t="e">
        <f t="shared" si="4"/>
        <v>#REF!</v>
      </c>
      <c r="L64" s="67" t="e">
        <f t="shared" si="4"/>
        <v>#REF!</v>
      </c>
    </row>
    <row r="65" spans="3:12">
      <c r="C65" s="64" t="s">
        <v>158</v>
      </c>
      <c r="D65" s="65">
        <f>D66*D67*D44*D68</f>
        <v>11695.5</v>
      </c>
      <c r="E65" s="201" t="s">
        <v>148</v>
      </c>
      <c r="F65" s="64" t="s">
        <v>158</v>
      </c>
      <c r="G65" s="65">
        <f>SUM(I65:L65)</f>
        <v>37467</v>
      </c>
      <c r="H65" s="65"/>
      <c r="I65" s="65"/>
      <c r="J65" s="65">
        <f t="shared" si="3"/>
        <v>11695.5</v>
      </c>
      <c r="K65" s="65">
        <f>K66*K67*249*K68</f>
        <v>12885.75</v>
      </c>
      <c r="L65" s="65">
        <f>L66*L67*249*L68</f>
        <v>12885.75</v>
      </c>
    </row>
    <row r="66" spans="3:12" ht="30.6" customHeight="1">
      <c r="C66" s="154" t="s">
        <v>159</v>
      </c>
      <c r="D66" s="150">
        <f>'3. Basic Input &amp; Assumptions'!H16</f>
        <v>0.57499999999999996</v>
      </c>
      <c r="E66" s="202" t="s">
        <v>160</v>
      </c>
      <c r="F66" s="64" t="s">
        <v>159</v>
      </c>
      <c r="G66" s="75">
        <f>'3. Basic Input &amp; Assumptions'!$H$16</f>
        <v>0.57499999999999996</v>
      </c>
      <c r="H66" s="269"/>
      <c r="I66" s="269"/>
      <c r="J66" s="75">
        <f>'3. Basic Input &amp; Assumptions'!H16</f>
        <v>0.57499999999999996</v>
      </c>
      <c r="K66" s="75">
        <f>'3. Basic Input &amp; Assumptions'!H16</f>
        <v>0.57499999999999996</v>
      </c>
      <c r="L66" s="75">
        <f>'3. Basic Input &amp; Assumptions'!H16</f>
        <v>0.57499999999999996</v>
      </c>
    </row>
    <row r="67" spans="3:12" ht="18" customHeight="1">
      <c r="C67" s="155" t="s">
        <v>161</v>
      </c>
      <c r="D67" s="76">
        <f>'3. Basic Input &amp; Assumptions'!H14</f>
        <v>20</v>
      </c>
      <c r="E67" s="77"/>
      <c r="F67" s="73" t="s">
        <v>161</v>
      </c>
      <c r="G67" s="76">
        <f>'3. Basic Input &amp; Assumptions'!$H$14</f>
        <v>20</v>
      </c>
      <c r="H67" s="270"/>
      <c r="I67" s="270"/>
      <c r="J67" s="76">
        <f>'3. Basic Input &amp; Assumptions'!H14</f>
        <v>20</v>
      </c>
      <c r="K67" s="76">
        <f>'3. Basic Input &amp; Assumptions'!H14</f>
        <v>20</v>
      </c>
      <c r="L67" s="76">
        <f>'3. Basic Input &amp; Assumptions'!H14</f>
        <v>20</v>
      </c>
    </row>
    <row r="68" spans="3:12" ht="26.25" customHeight="1">
      <c r="C68" s="155" t="s">
        <v>162</v>
      </c>
      <c r="D68" s="76">
        <v>4.5</v>
      </c>
      <c r="E68" s="202" t="s">
        <v>213</v>
      </c>
      <c r="F68" s="73" t="s">
        <v>162</v>
      </c>
      <c r="G68" s="76">
        <f>AVERAGE(I68:L68)</f>
        <v>4.5</v>
      </c>
      <c r="H68" s="270"/>
      <c r="I68" s="270"/>
      <c r="J68" s="76">
        <f t="shared" si="3"/>
        <v>4.5</v>
      </c>
      <c r="K68" s="76">
        <f>J68</f>
        <v>4.5</v>
      </c>
      <c r="L68" s="76">
        <f>K68</f>
        <v>4.5</v>
      </c>
    </row>
    <row r="69" spans="3:12">
      <c r="C69" s="64" t="s">
        <v>163</v>
      </c>
      <c r="D69" s="67">
        <v>0</v>
      </c>
      <c r="E69" s="201"/>
      <c r="F69" s="73" t="s">
        <v>163</v>
      </c>
      <c r="G69" s="67">
        <f>SUM(I69:L69)</f>
        <v>0</v>
      </c>
      <c r="H69" s="65"/>
      <c r="I69" s="267">
        <f>'5. General Start Up Cost'!$F$29</f>
        <v>0</v>
      </c>
      <c r="J69" s="67">
        <f t="shared" si="3"/>
        <v>0</v>
      </c>
      <c r="K69" s="67">
        <f t="shared" ref="K69:L78" si="6">J69*(1+$G$96)</f>
        <v>0</v>
      </c>
      <c r="L69" s="67">
        <f t="shared" si="6"/>
        <v>0</v>
      </c>
    </row>
    <row r="70" spans="3:12">
      <c r="C70" s="64" t="s">
        <v>164</v>
      </c>
      <c r="D70" s="67">
        <v>0</v>
      </c>
      <c r="E70" s="66"/>
      <c r="F70" s="73" t="s">
        <v>164</v>
      </c>
      <c r="G70" s="67">
        <f t="shared" ref="G70:G78" si="7">SUM(I70:L70)</f>
        <v>0</v>
      </c>
      <c r="H70" s="65"/>
      <c r="I70" s="267">
        <f>'5. General Start Up Cost'!$F$30</f>
        <v>0</v>
      </c>
      <c r="J70" s="67">
        <f t="shared" si="3"/>
        <v>0</v>
      </c>
      <c r="K70" s="67">
        <f t="shared" si="6"/>
        <v>0</v>
      </c>
      <c r="L70" s="67">
        <f t="shared" si="6"/>
        <v>0</v>
      </c>
    </row>
    <row r="71" spans="3:12">
      <c r="C71" s="64" t="s">
        <v>165</v>
      </c>
      <c r="D71" s="67">
        <v>0</v>
      </c>
      <c r="E71" s="66"/>
      <c r="F71" s="73" t="s">
        <v>165</v>
      </c>
      <c r="G71" s="67">
        <f t="shared" si="7"/>
        <v>0</v>
      </c>
      <c r="H71" s="65"/>
      <c r="I71" s="65"/>
      <c r="J71" s="67">
        <f t="shared" si="3"/>
        <v>0</v>
      </c>
      <c r="K71" s="67">
        <f t="shared" si="6"/>
        <v>0</v>
      </c>
      <c r="L71" s="67">
        <f t="shared" si="6"/>
        <v>0</v>
      </c>
    </row>
    <row r="72" spans="3:12">
      <c r="C72" s="64" t="s">
        <v>166</v>
      </c>
      <c r="D72" s="67">
        <v>0</v>
      </c>
      <c r="E72" s="66"/>
      <c r="F72" s="73" t="s">
        <v>166</v>
      </c>
      <c r="G72" s="67">
        <f t="shared" si="7"/>
        <v>0</v>
      </c>
      <c r="H72" s="65"/>
      <c r="I72" s="65"/>
      <c r="J72" s="67">
        <f t="shared" si="3"/>
        <v>0</v>
      </c>
      <c r="K72" s="67">
        <f t="shared" si="6"/>
        <v>0</v>
      </c>
      <c r="L72" s="67">
        <f t="shared" si="6"/>
        <v>0</v>
      </c>
    </row>
    <row r="73" spans="3:12">
      <c r="C73" s="64" t="s">
        <v>167</v>
      </c>
      <c r="D73" s="67">
        <v>0</v>
      </c>
      <c r="E73" s="66"/>
      <c r="F73" s="73" t="s">
        <v>167</v>
      </c>
      <c r="G73" s="67">
        <f t="shared" si="7"/>
        <v>0</v>
      </c>
      <c r="H73" s="65"/>
      <c r="I73" s="267">
        <f>'5. General Start Up Cost'!$F$31</f>
        <v>0</v>
      </c>
      <c r="J73" s="67">
        <f t="shared" si="3"/>
        <v>0</v>
      </c>
      <c r="K73" s="67">
        <f t="shared" si="6"/>
        <v>0</v>
      </c>
      <c r="L73" s="67">
        <f t="shared" si="6"/>
        <v>0</v>
      </c>
    </row>
    <row r="74" spans="3:12" ht="46.5">
      <c r="C74" s="73" t="s">
        <v>168</v>
      </c>
      <c r="D74" s="67">
        <v>0</v>
      </c>
      <c r="E74" s="66"/>
      <c r="F74" s="73" t="s">
        <v>168</v>
      </c>
      <c r="G74" s="67" t="e">
        <f t="shared" si="7"/>
        <v>#REF!</v>
      </c>
      <c r="H74" s="267" t="e">
        <f>IF(OR('6. New Medicaid Provider Costs'!#REF!="Apply to ICM Tab 5",'6. New Medicaid Provider Costs'!#REF!="Apply to All"),SUM('6. New Medicaid Provider Costs'!$I$29:$I$40),0)</f>
        <v>#REF!</v>
      </c>
      <c r="I74" s="267">
        <f>SUM('5. General Start Up Cost'!$F$33:$F$42)</f>
        <v>0</v>
      </c>
      <c r="J74" s="67" t="e">
        <f>D74+H74</f>
        <v>#REF!</v>
      </c>
      <c r="K74" s="67" t="e">
        <f t="shared" si="6"/>
        <v>#REF!</v>
      </c>
      <c r="L74" s="67" t="e">
        <f t="shared" si="6"/>
        <v>#REF!</v>
      </c>
    </row>
    <row r="75" spans="3:12">
      <c r="C75" s="64" t="s">
        <v>170</v>
      </c>
      <c r="D75" s="67">
        <v>0</v>
      </c>
      <c r="E75" s="66"/>
      <c r="F75" s="73" t="s">
        <v>170</v>
      </c>
      <c r="G75" s="67">
        <f t="shared" si="7"/>
        <v>0</v>
      </c>
      <c r="H75" s="65"/>
      <c r="I75" s="65"/>
      <c r="J75" s="67">
        <f t="shared" si="3"/>
        <v>0</v>
      </c>
      <c r="K75" s="67">
        <f t="shared" si="6"/>
        <v>0</v>
      </c>
      <c r="L75" s="67">
        <f t="shared" si="6"/>
        <v>0</v>
      </c>
    </row>
    <row r="76" spans="3:12">
      <c r="C76" s="64" t="s">
        <v>171</v>
      </c>
      <c r="D76" s="67">
        <v>0</v>
      </c>
      <c r="E76" s="66"/>
      <c r="F76" s="73" t="s">
        <v>171</v>
      </c>
      <c r="G76" s="67">
        <f t="shared" si="7"/>
        <v>0</v>
      </c>
      <c r="H76" s="65"/>
      <c r="I76" s="65"/>
      <c r="J76" s="67">
        <f t="shared" si="3"/>
        <v>0</v>
      </c>
      <c r="K76" s="67">
        <f t="shared" si="6"/>
        <v>0</v>
      </c>
      <c r="L76" s="67">
        <f t="shared" si="6"/>
        <v>0</v>
      </c>
    </row>
    <row r="77" spans="3:12" ht="46.5">
      <c r="C77" s="73" t="s">
        <v>214</v>
      </c>
      <c r="D77" s="67">
        <v>2500</v>
      </c>
      <c r="E77" s="66"/>
      <c r="F77" s="73" t="s">
        <v>172</v>
      </c>
      <c r="G77" s="67" t="e">
        <f t="shared" si="7"/>
        <v>#REF!</v>
      </c>
      <c r="H77" s="267" t="e">
        <f>IF(OR('6. New Medicaid Provider Costs'!#REF!="Apply to ICM Tab 5",'6. New Medicaid Provider Costs'!#REF!="Apply to All"),SUM('6. New Medicaid Provider Costs'!$I$41:$I$42),0)</f>
        <v>#REF!</v>
      </c>
      <c r="I77" s="267">
        <f>SUM('5. General Start Up Cost'!$F$46:$F$50)</f>
        <v>0</v>
      </c>
      <c r="J77" s="67" t="e">
        <f>D77+H77</f>
        <v>#REF!</v>
      </c>
      <c r="K77" s="67" t="e">
        <f t="shared" si="6"/>
        <v>#REF!</v>
      </c>
      <c r="L77" s="67" t="e">
        <f t="shared" si="6"/>
        <v>#REF!</v>
      </c>
    </row>
    <row r="78" spans="3:12">
      <c r="C78" s="78" t="s">
        <v>173</v>
      </c>
      <c r="D78" s="68">
        <v>0</v>
      </c>
      <c r="E78" s="66"/>
      <c r="F78" s="78" t="s">
        <v>173</v>
      </c>
      <c r="G78" s="68">
        <f t="shared" si="7"/>
        <v>0</v>
      </c>
      <c r="H78" s="361"/>
      <c r="I78" s="81"/>
      <c r="J78" s="68">
        <f>D78</f>
        <v>0</v>
      </c>
      <c r="K78" s="68">
        <f t="shared" si="6"/>
        <v>0</v>
      </c>
      <c r="L78" s="68">
        <f t="shared" si="6"/>
        <v>0</v>
      </c>
    </row>
    <row r="79" spans="3:12">
      <c r="C79" s="79" t="s">
        <v>174</v>
      </c>
      <c r="D79" s="62">
        <f>SUM(D58:D78)</f>
        <v>97320.574999999997</v>
      </c>
      <c r="E79" s="66"/>
      <c r="F79" s="79" t="s">
        <v>174</v>
      </c>
      <c r="G79" s="62" t="e">
        <f>SUM(I79:L79)</f>
        <v>#REF!</v>
      </c>
      <c r="H79" s="62" t="e">
        <f>SUM(H58:H78)</f>
        <v>#REF!</v>
      </c>
      <c r="I79" s="62">
        <f>SUM(I58:I78)</f>
        <v>4500</v>
      </c>
      <c r="J79" s="62" t="e">
        <f>SUM(J58:J78)</f>
        <v>#REF!</v>
      </c>
      <c r="K79" s="62" t="e">
        <f>SUM(K58:K78)</f>
        <v>#REF!</v>
      </c>
      <c r="L79" s="62" t="e">
        <f>SUM(L58:L78)</f>
        <v>#REF!</v>
      </c>
    </row>
    <row r="80" spans="3:12">
      <c r="C80" s="71"/>
      <c r="D80" s="65"/>
      <c r="E80" s="66"/>
      <c r="F80" s="71"/>
      <c r="G80" s="65"/>
      <c r="H80" s="65"/>
      <c r="I80" s="65"/>
      <c r="J80" s="65"/>
      <c r="K80" s="65"/>
      <c r="L80" s="65"/>
    </row>
    <row r="81" spans="3:12">
      <c r="C81" s="162" t="s">
        <v>175</v>
      </c>
      <c r="D81" s="65">
        <f>D55+D79</f>
        <v>906698.57499999995</v>
      </c>
      <c r="E81" s="66"/>
      <c r="F81" s="162" t="s">
        <v>175</v>
      </c>
      <c r="G81" s="65" t="e">
        <f>SUM(I81:L81)</f>
        <v>#REF!</v>
      </c>
      <c r="H81" s="267" t="e">
        <f>SUM(H55,H79)</f>
        <v>#REF!</v>
      </c>
      <c r="I81" s="267">
        <f>SUM(I55,I79)</f>
        <v>9000</v>
      </c>
      <c r="J81" s="65" t="e">
        <f>J55+J79</f>
        <v>#REF!</v>
      </c>
      <c r="K81" s="65" t="e">
        <f>K55+K79</f>
        <v>#REF!</v>
      </c>
      <c r="L81" s="65" t="e">
        <f>L55+L79</f>
        <v>#REF!</v>
      </c>
    </row>
    <row r="82" spans="3:12">
      <c r="C82" s="164" t="s">
        <v>176</v>
      </c>
      <c r="D82" s="81">
        <f>D81*('3. Basic Input &amp; Assumptions'!H13)</f>
        <v>136004.78624999998</v>
      </c>
      <c r="E82" s="66"/>
      <c r="F82" s="164" t="s">
        <v>176</v>
      </c>
      <c r="G82" s="81" t="e">
        <f>SUM(I82:L82)</f>
        <v>#REF!</v>
      </c>
      <c r="H82" s="268" t="e">
        <f>H81*'3. Basic Input &amp; Assumptions'!$H$13</f>
        <v>#REF!</v>
      </c>
      <c r="I82" s="268">
        <f>I81*'3. Basic Input &amp; Assumptions'!$H$13</f>
        <v>1350</v>
      </c>
      <c r="J82" s="81" t="e">
        <f>J81*('3. Basic Input &amp; Assumptions'!$H$13)</f>
        <v>#REF!</v>
      </c>
      <c r="K82" s="81" t="e">
        <f>K81*('3. Basic Input &amp; Assumptions'!$H$13)</f>
        <v>#REF!</v>
      </c>
      <c r="L82" s="81" t="e">
        <f>L81*('3. Basic Input &amp; Assumptions'!H13)</f>
        <v>#REF!</v>
      </c>
    </row>
    <row r="83" spans="3:12">
      <c r="C83" s="163" t="s">
        <v>177</v>
      </c>
      <c r="D83" s="62">
        <f>D81+D82</f>
        <v>1042703.36125</v>
      </c>
      <c r="E83" s="66"/>
      <c r="F83" s="163" t="s">
        <v>177</v>
      </c>
      <c r="G83" s="62" t="e">
        <f>SUM(I83:L83)</f>
        <v>#REF!</v>
      </c>
      <c r="H83" s="271" t="e">
        <f>SUM(H81:H82)</f>
        <v>#REF!</v>
      </c>
      <c r="I83" s="271">
        <f>SUM(I81:I82)</f>
        <v>10350</v>
      </c>
      <c r="J83" s="62" t="e">
        <f>J81+J82</f>
        <v>#REF!</v>
      </c>
      <c r="K83" s="62" t="e">
        <f>K81+K82</f>
        <v>#REF!</v>
      </c>
      <c r="L83" s="62" t="e">
        <f>L81+L82</f>
        <v>#REF!</v>
      </c>
    </row>
    <row r="84" spans="3:12">
      <c r="C84" s="61"/>
      <c r="D84" s="65"/>
      <c r="E84" s="66"/>
      <c r="F84" s="61"/>
      <c r="G84" s="65"/>
      <c r="H84" s="65"/>
      <c r="I84" s="65"/>
      <c r="J84" s="65"/>
      <c r="K84" s="65"/>
      <c r="L84" s="65"/>
    </row>
    <row r="85" spans="3:12">
      <c r="C85" s="162" t="s">
        <v>178</v>
      </c>
      <c r="D85" s="65"/>
      <c r="E85" s="63"/>
      <c r="F85" s="162" t="s">
        <v>178</v>
      </c>
      <c r="G85" s="65"/>
      <c r="H85" s="65"/>
      <c r="I85" s="65"/>
      <c r="J85" s="65"/>
      <c r="K85" s="65"/>
      <c r="L85" s="65"/>
    </row>
    <row r="86" spans="3:12">
      <c r="C86" s="73" t="s">
        <v>179</v>
      </c>
      <c r="D86" s="67">
        <v>0</v>
      </c>
      <c r="E86" s="63"/>
      <c r="F86" s="73" t="s">
        <v>179</v>
      </c>
      <c r="G86" s="67">
        <f>SUM(I86:L86)</f>
        <v>0</v>
      </c>
      <c r="H86" s="67"/>
      <c r="I86" s="267">
        <v>0</v>
      </c>
      <c r="J86" s="67">
        <f t="shared" ref="J86:J92" si="8">D86</f>
        <v>0</v>
      </c>
      <c r="K86" s="67">
        <f t="shared" ref="K86:L91" si="9">J86</f>
        <v>0</v>
      </c>
      <c r="L86" s="67">
        <f t="shared" si="9"/>
        <v>0</v>
      </c>
    </row>
    <row r="87" spans="3:12">
      <c r="C87" s="64" t="s">
        <v>180</v>
      </c>
      <c r="D87" s="67">
        <v>0</v>
      </c>
      <c r="E87" s="63"/>
      <c r="F87" s="64" t="s">
        <v>180</v>
      </c>
      <c r="G87" s="67">
        <f t="shared" ref="G87:G91" si="10">SUM(I87:L87)</f>
        <v>0</v>
      </c>
      <c r="H87" s="67"/>
      <c r="I87" s="267">
        <v>0</v>
      </c>
      <c r="J87" s="67">
        <f t="shared" si="8"/>
        <v>0</v>
      </c>
      <c r="K87" s="67">
        <f t="shared" si="9"/>
        <v>0</v>
      </c>
      <c r="L87" s="67">
        <f t="shared" si="9"/>
        <v>0</v>
      </c>
    </row>
    <row r="88" spans="3:12">
      <c r="C88" s="64" t="s">
        <v>181</v>
      </c>
      <c r="D88" s="67">
        <v>0</v>
      </c>
      <c r="E88" s="63"/>
      <c r="F88" s="64" t="s">
        <v>181</v>
      </c>
      <c r="G88" s="67">
        <f t="shared" si="10"/>
        <v>0</v>
      </c>
      <c r="H88" s="67"/>
      <c r="I88" s="267">
        <v>0</v>
      </c>
      <c r="J88" s="67">
        <f t="shared" si="8"/>
        <v>0</v>
      </c>
      <c r="K88" s="67">
        <f t="shared" si="9"/>
        <v>0</v>
      </c>
      <c r="L88" s="67">
        <f t="shared" si="9"/>
        <v>0</v>
      </c>
    </row>
    <row r="89" spans="3:12">
      <c r="C89" s="64" t="s">
        <v>182</v>
      </c>
      <c r="D89" s="67">
        <v>0</v>
      </c>
      <c r="E89" s="63"/>
      <c r="F89" s="64" t="s">
        <v>182</v>
      </c>
      <c r="G89" s="67">
        <f t="shared" si="10"/>
        <v>0</v>
      </c>
      <c r="H89" s="67"/>
      <c r="I89" s="267">
        <v>0</v>
      </c>
      <c r="J89" s="67">
        <f t="shared" si="8"/>
        <v>0</v>
      </c>
      <c r="K89" s="67">
        <f t="shared" si="9"/>
        <v>0</v>
      </c>
      <c r="L89" s="67">
        <f t="shared" si="9"/>
        <v>0</v>
      </c>
    </row>
    <row r="90" spans="3:12">
      <c r="C90" s="64" t="s">
        <v>183</v>
      </c>
      <c r="D90" s="67">
        <v>0</v>
      </c>
      <c r="E90" s="63"/>
      <c r="F90" s="64" t="s">
        <v>183</v>
      </c>
      <c r="G90" s="67">
        <f t="shared" si="10"/>
        <v>0</v>
      </c>
      <c r="H90" s="67"/>
      <c r="I90" s="267">
        <v>0</v>
      </c>
      <c r="J90" s="67">
        <f t="shared" si="8"/>
        <v>0</v>
      </c>
      <c r="K90" s="67">
        <f t="shared" si="9"/>
        <v>0</v>
      </c>
      <c r="L90" s="67">
        <f t="shared" si="9"/>
        <v>0</v>
      </c>
    </row>
    <row r="91" spans="3:12">
      <c r="C91" s="83" t="s">
        <v>184</v>
      </c>
      <c r="D91" s="68">
        <f>SUM(D87:D90)</f>
        <v>0</v>
      </c>
      <c r="E91" s="63"/>
      <c r="F91" s="83" t="s">
        <v>184</v>
      </c>
      <c r="G91" s="68">
        <f t="shared" si="10"/>
        <v>0</v>
      </c>
      <c r="H91" s="68"/>
      <c r="I91" s="268">
        <v>0</v>
      </c>
      <c r="J91" s="68">
        <f t="shared" si="8"/>
        <v>0</v>
      </c>
      <c r="K91" s="68">
        <f t="shared" si="9"/>
        <v>0</v>
      </c>
      <c r="L91" s="68">
        <f t="shared" si="9"/>
        <v>0</v>
      </c>
    </row>
    <row r="92" spans="3:12">
      <c r="C92" s="278" t="s">
        <v>185</v>
      </c>
      <c r="D92" s="62">
        <f>SUM(D86:D91)</f>
        <v>0</v>
      </c>
      <c r="E92" s="63"/>
      <c r="F92" s="278" t="s">
        <v>185</v>
      </c>
      <c r="G92" s="87">
        <f>SUM(I92:L92)</f>
        <v>0</v>
      </c>
      <c r="H92" s="360"/>
      <c r="I92" s="271">
        <v>0</v>
      </c>
      <c r="J92" s="62">
        <f t="shared" si="8"/>
        <v>0</v>
      </c>
      <c r="K92" s="62">
        <f>SUM(K87:K91)</f>
        <v>0</v>
      </c>
      <c r="L92" s="62">
        <f>SUM(L87:L91)</f>
        <v>0</v>
      </c>
    </row>
    <row r="93" spans="3:12">
      <c r="C93" s="86"/>
      <c r="D93" s="85"/>
      <c r="E93" s="63"/>
      <c r="F93" s="86"/>
      <c r="G93" s="85"/>
      <c r="H93" s="85"/>
      <c r="I93" s="85"/>
      <c r="J93" s="85"/>
      <c r="K93" s="85"/>
      <c r="L93" s="85"/>
    </row>
    <row r="94" spans="3:12">
      <c r="C94" s="165" t="s">
        <v>186</v>
      </c>
      <c r="D94" s="87">
        <f>D91-D83</f>
        <v>-1042703.36125</v>
      </c>
      <c r="E94" s="63"/>
      <c r="F94" s="161" t="s">
        <v>186</v>
      </c>
      <c r="G94" s="87" t="e">
        <f>SUM(I94:L94)</f>
        <v>#REF!</v>
      </c>
      <c r="H94" s="87"/>
      <c r="I94" s="87">
        <f>I92-I83</f>
        <v>-10350</v>
      </c>
      <c r="J94" s="87" t="e">
        <f>J92-J83</f>
        <v>#REF!</v>
      </c>
      <c r="K94" s="87" t="e">
        <f>K92-K83</f>
        <v>#REF!</v>
      </c>
      <c r="L94" s="87" t="e">
        <f>L92-L83</f>
        <v>#REF!</v>
      </c>
    </row>
    <row r="96" spans="3:12">
      <c r="F96" s="10" t="s">
        <v>187</v>
      </c>
      <c r="G96" s="88">
        <f>'3. Basic Input &amp; Assumptions'!H17</f>
        <v>2.5000000000000001E-2</v>
      </c>
      <c r="H96" s="88"/>
      <c r="I96" s="88"/>
    </row>
  </sheetData>
  <sheetProtection selectLockedCells="1"/>
  <mergeCells count="19">
    <mergeCell ref="C48:D48"/>
    <mergeCell ref="F24:J24"/>
    <mergeCell ref="F21:J21"/>
    <mergeCell ref="F20:J20"/>
    <mergeCell ref="E36:G36"/>
    <mergeCell ref="E37:G37"/>
    <mergeCell ref="E38:G38"/>
    <mergeCell ref="E39:G39"/>
    <mergeCell ref="E40:G40"/>
    <mergeCell ref="E41:G41"/>
    <mergeCell ref="E42:G42"/>
    <mergeCell ref="E35:G35"/>
    <mergeCell ref="F32:J32"/>
    <mergeCell ref="F27:J27"/>
    <mergeCell ref="F26:J26"/>
    <mergeCell ref="C5:G5"/>
    <mergeCell ref="F47:L47"/>
    <mergeCell ref="F25:J25"/>
    <mergeCell ref="C17:G17"/>
  </mergeCells>
  <dataValidations count="1">
    <dataValidation type="whole" allowBlank="1" showInputMessage="1" showErrorMessage="1" sqref="D9:D13 F9:F13" xr:uid="{00000000-0002-0000-0400-000000000000}">
      <formula1>0</formula1>
      <formula2>100000</formula2>
    </dataValidation>
  </dataValidations>
  <hyperlinks>
    <hyperlink ref="H5" r:id="rId1" xr:uid="{00000000-0004-0000-0400-000000000000}"/>
  </hyperlinks>
  <pageMargins left="0.7" right="0.7" top="0.75" bottom="0.75" header="0.3" footer="0.3"/>
  <pageSetup fitToHeight="0"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'3. Basic Input &amp; Assumptions'!$C$27:$C$32</xm:f>
          </x14:formula1>
          <xm:sqref>C9:C13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A1:U89"/>
  <sheetViews>
    <sheetView showGridLines="0" zoomScale="90" zoomScaleNormal="90" workbookViewId="0">
      <selection activeCell="C5" sqref="C5:G5"/>
    </sheetView>
  </sheetViews>
  <sheetFormatPr defaultColWidth="9.140625" defaultRowHeight="15.6"/>
  <cols>
    <col min="1" max="2" width="2.85546875" style="4" customWidth="1"/>
    <col min="3" max="3" width="39" style="4" customWidth="1"/>
    <col min="4" max="4" width="23.85546875" style="4" bestFit="1" customWidth="1"/>
    <col min="5" max="5" width="33" style="4" customWidth="1"/>
    <col min="6" max="6" width="38.5703125" style="10" customWidth="1"/>
    <col min="7" max="7" width="27.85546875" style="8" customWidth="1"/>
    <col min="8" max="8" width="25.42578125" style="8" bestFit="1" customWidth="1"/>
    <col min="9" max="9" width="25" style="8" bestFit="1" customWidth="1"/>
    <col min="10" max="12" width="21.5703125" style="4" customWidth="1"/>
    <col min="13" max="13" width="9.140625" style="4" customWidth="1"/>
    <col min="14" max="14" width="24.42578125" style="4" customWidth="1"/>
    <col min="15" max="15" width="21.5703125" style="4" customWidth="1"/>
    <col min="16" max="16" width="17" style="4" customWidth="1"/>
    <col min="17" max="17" width="19.5703125" style="4" customWidth="1"/>
    <col min="18" max="16384" width="9.140625" style="4"/>
  </cols>
  <sheetData>
    <row r="1" spans="1:21" s="3" customFormat="1">
      <c r="B1" s="1"/>
      <c r="C1" s="2"/>
      <c r="D1" s="2"/>
    </row>
    <row r="2" spans="1:21">
      <c r="A2" s="5" t="s">
        <v>215</v>
      </c>
      <c r="B2" s="6"/>
      <c r="C2" s="5"/>
      <c r="D2" s="6"/>
      <c r="E2" s="6"/>
      <c r="F2" s="7"/>
      <c r="G2" s="128"/>
      <c r="H2" s="128"/>
      <c r="I2" s="128"/>
    </row>
    <row r="3" spans="1:21" ht="25.5" customHeight="1"/>
    <row r="4" spans="1:21" ht="15.95" thickBot="1">
      <c r="C4" s="9" t="s">
        <v>216</v>
      </c>
    </row>
    <row r="5" spans="1:21" ht="198" customHeight="1" thickBot="1">
      <c r="C5" s="490" t="s">
        <v>217</v>
      </c>
      <c r="D5" s="490"/>
      <c r="E5" s="490"/>
      <c r="F5" s="490"/>
      <c r="G5" s="490"/>
      <c r="H5" s="434"/>
      <c r="I5" s="252"/>
    </row>
    <row r="6" spans="1:21">
      <c r="C6" s="9" t="s">
        <v>218</v>
      </c>
      <c r="N6" s="11"/>
    </row>
    <row r="7" spans="1:21">
      <c r="J7" s="4" t="s">
        <v>4</v>
      </c>
    </row>
    <row r="8" spans="1:21" ht="30.95">
      <c r="C8" s="12" t="s">
        <v>193</v>
      </c>
      <c r="D8" s="129" t="s">
        <v>194</v>
      </c>
      <c r="E8" s="130" t="s">
        <v>219</v>
      </c>
      <c r="F8" s="129" t="s">
        <v>195</v>
      </c>
      <c r="G8" s="130" t="s">
        <v>220</v>
      </c>
      <c r="H8" s="130"/>
      <c r="I8" s="130"/>
      <c r="J8" s="15"/>
    </row>
    <row r="9" spans="1:21">
      <c r="B9" s="16">
        <v>1</v>
      </c>
      <c r="C9" s="17" t="s">
        <v>68</v>
      </c>
      <c r="D9" s="18"/>
      <c r="E9" s="19">
        <f>IF(C9="","",IF('3. Basic Input &amp; Assumptions'!E6&gt;0,VLOOKUP(C9,'3. Basic Input &amp; Assumptions'!$C$36:$F$41,4,FALSE),VLOOKUP(C9,'3. Basic Input &amp; Assumptions'!$C$36:$F$41,2,FALSE)))</f>
        <v>0</v>
      </c>
      <c r="F9" s="18">
        <v>0</v>
      </c>
      <c r="G9" s="19">
        <f>IF(C9="","",IF('3. Basic Input &amp; Assumptions'!E6&gt;0,VLOOKUP(C9,'3. Basic Input &amp; Assumptions'!$C$36:$F$41,4,FALSE),VLOOKUP(C9,'3. Basic Input &amp; Assumptions'!$C$36:$F$41,3,FALSE)))</f>
        <v>0</v>
      </c>
      <c r="H9" s="277"/>
      <c r="I9" s="277"/>
      <c r="J9" s="20">
        <f>IF(D9&gt;0,D9/E9,0)+IF(F9&gt;0,F9/G9,0)</f>
        <v>0</v>
      </c>
    </row>
    <row r="10" spans="1:21">
      <c r="B10" s="16">
        <v>2</v>
      </c>
      <c r="C10" s="17" t="s">
        <v>67</v>
      </c>
      <c r="D10" s="18">
        <v>30</v>
      </c>
      <c r="E10" s="19">
        <f>IF(C10="","",IF('3. Basic Input &amp; Assumptions'!E6&gt;0,VLOOKUP(C10,'3. Basic Input &amp; Assumptions'!$C$36:$F$41,4,FALSE),VLOOKUP(C10,'3. Basic Input &amp; Assumptions'!$C$36:$F$41,2,FALSE)))</f>
        <v>15</v>
      </c>
      <c r="F10" s="18">
        <v>20</v>
      </c>
      <c r="G10" s="19">
        <f>IF(C10="","",IF('3. Basic Input &amp; Assumptions'!E6&gt;0,VLOOKUP(C10,'3. Basic Input &amp; Assumptions'!$C$36:$F$41,4,FALSE),VLOOKUP(C10,'3. Basic Input &amp; Assumptions'!$C$36:$F$41,3,FALSE)))</f>
        <v>20</v>
      </c>
      <c r="H10" s="277"/>
      <c r="I10" s="277"/>
      <c r="J10" s="20">
        <f>IF(D10&gt;0,D10/E10,0)+IF(F10&gt;0,F10/G10,0)</f>
        <v>3</v>
      </c>
    </row>
    <row r="11" spans="1:21">
      <c r="B11" s="16">
        <v>3</v>
      </c>
      <c r="C11" s="17" t="s">
        <v>71</v>
      </c>
      <c r="D11" s="18">
        <v>20</v>
      </c>
      <c r="E11" s="19">
        <f>IF(C11="","",IF('3. Basic Input &amp; Assumptions'!E6&gt;0,VLOOKUP(C11,'3. Basic Input &amp; Assumptions'!$C$36:$F$41,4,FALSE),VLOOKUP(C11,'3. Basic Input &amp; Assumptions'!$C$36:$F$41,2,FALSE)))</f>
        <v>10</v>
      </c>
      <c r="F11" s="18">
        <v>20</v>
      </c>
      <c r="G11" s="19">
        <f>IF(C11="","",IF('3. Basic Input &amp; Assumptions'!E6&gt;0,VLOOKUP(C11,'3. Basic Input &amp; Assumptions'!$C$36:$F$41,4,FALSE),VLOOKUP(C11,'3. Basic Input &amp; Assumptions'!$C$36:$F$41,3,FALSE)))</f>
        <v>15</v>
      </c>
      <c r="H11" s="277"/>
      <c r="I11" s="277"/>
      <c r="J11" s="20">
        <f>IF(D11&gt;0,D11/E11,0)+IF(F11&gt;0,F11/G11,0)</f>
        <v>3.333333333333333</v>
      </c>
    </row>
    <row r="12" spans="1:21">
      <c r="B12" s="21">
        <v>4</v>
      </c>
      <c r="C12" s="17"/>
      <c r="D12" s="18"/>
      <c r="E12" s="19" t="str">
        <f>IF(C12="","",IF('3. Basic Input &amp; Assumptions'!E6&gt;0,VLOOKUP(C12,'3. Basic Input &amp; Assumptions'!$C$36:$F$41,4,FALSE),VLOOKUP(C12,'3. Basic Input &amp; Assumptions'!$C$36:$F$41,2,FALSE)))</f>
        <v/>
      </c>
      <c r="F12" s="18"/>
      <c r="G12" s="19" t="str">
        <f>IF(C12="","",IF('3. Basic Input &amp; Assumptions'!E6&gt;0,VLOOKUP(C12,'3. Basic Input &amp; Assumptions'!$C$36:$F$41,4,FALSE),VLOOKUP(C12,'3. Basic Input &amp; Assumptions'!$C$36:$F$41,3,FALSE)))</f>
        <v/>
      </c>
      <c r="H12" s="277"/>
      <c r="I12" s="277"/>
      <c r="J12" s="20">
        <f>IF(D12&gt;0,D12/E12,0)+IF(F12&gt;0,F12/G12,0)</f>
        <v>0</v>
      </c>
    </row>
    <row r="13" spans="1:21" ht="15.95" thickBot="1">
      <c r="B13" s="21">
        <v>5</v>
      </c>
      <c r="C13" s="22"/>
      <c r="D13" s="23"/>
      <c r="E13" s="24" t="str">
        <f>IF(C13="","",IF('3. Basic Input &amp; Assumptions'!E6&gt;0,VLOOKUP(C13,'3. Basic Input &amp; Assumptions'!$C$36:$F$41,4,FALSE),VLOOKUP(C13,'3. Basic Input &amp; Assumptions'!$C$36:$F$41,2,FALSE)))</f>
        <v/>
      </c>
      <c r="F13" s="25"/>
      <c r="G13" s="26" t="str">
        <f>IF(C13="","",IF('3. Basic Input &amp; Assumptions'!E6&gt;0,VLOOKUP(C13,'3. Basic Input &amp; Assumptions'!$C$36:$F$41,4,FALSE),VLOOKUP(C13,'3. Basic Input &amp; Assumptions'!$C$36:$F$41,3,FALSE)))</f>
        <v/>
      </c>
      <c r="H13" s="277"/>
      <c r="I13" s="277"/>
      <c r="J13" s="20">
        <f>IF(D13&gt;0,D13/E13,0)+IF(F13&gt;0,F13/G13,0)</f>
        <v>0</v>
      </c>
    </row>
    <row r="14" spans="1:21" ht="15.95" thickBot="1">
      <c r="C14" s="27" t="s">
        <v>97</v>
      </c>
      <c r="D14" s="28">
        <f>SUM(D9:D13)</f>
        <v>50</v>
      </c>
      <c r="E14" s="29"/>
      <c r="F14" s="30">
        <f>SUM(F9:F13)</f>
        <v>40</v>
      </c>
      <c r="G14" s="31"/>
      <c r="H14" s="59"/>
      <c r="I14" s="59"/>
    </row>
    <row r="16" spans="1:21">
      <c r="B16" s="444"/>
      <c r="C16" s="444"/>
      <c r="D16" s="444"/>
      <c r="E16" s="444"/>
      <c r="F16" s="445"/>
      <c r="G16" s="446"/>
      <c r="H16" s="446"/>
      <c r="I16" s="446"/>
      <c r="J16" s="444"/>
      <c r="N16" s="11"/>
      <c r="R16" s="9"/>
      <c r="S16" s="9"/>
      <c r="T16" s="9"/>
      <c r="U16" s="9"/>
    </row>
    <row r="17" spans="2:14">
      <c r="B17" s="444"/>
      <c r="C17" s="515" t="s">
        <v>221</v>
      </c>
      <c r="D17" s="515"/>
      <c r="E17" s="515"/>
      <c r="F17" s="515"/>
      <c r="G17" s="515"/>
      <c r="H17" s="447"/>
      <c r="I17" s="447"/>
      <c r="J17" s="444"/>
    </row>
    <row r="18" spans="2:14">
      <c r="B18" s="444"/>
      <c r="C18" s="515"/>
      <c r="D18" s="515"/>
      <c r="E18" s="515"/>
      <c r="F18" s="515"/>
      <c r="G18" s="515"/>
      <c r="H18" s="447"/>
      <c r="I18" s="447"/>
      <c r="J18" s="444"/>
      <c r="N18" s="11"/>
    </row>
    <row r="19" spans="2:14">
      <c r="B19" s="444"/>
      <c r="C19" s="444"/>
      <c r="D19" s="448" t="s">
        <v>101</v>
      </c>
      <c r="E19" s="448" t="s">
        <v>102</v>
      </c>
      <c r="F19" s="448"/>
      <c r="G19" s="446"/>
      <c r="H19" s="446"/>
      <c r="I19" s="446"/>
      <c r="J19" s="444"/>
      <c r="K19" s="32"/>
    </row>
    <row r="20" spans="2:14">
      <c r="B20" s="444"/>
      <c r="C20" s="449" t="s">
        <v>103</v>
      </c>
      <c r="D20" s="450">
        <v>0.5</v>
      </c>
      <c r="E20" s="451">
        <v>65000</v>
      </c>
      <c r="F20" s="516">
        <f>ROUNDUP(D24/50,0)</f>
        <v>1</v>
      </c>
      <c r="G20" s="517"/>
      <c r="H20" s="517"/>
      <c r="I20" s="517"/>
      <c r="J20" s="517"/>
    </row>
    <row r="21" spans="2:14">
      <c r="B21" s="444"/>
      <c r="C21" s="449" t="s">
        <v>105</v>
      </c>
      <c r="D21" s="452">
        <f>ROUNDUP(D24/15,0)</f>
        <v>1</v>
      </c>
      <c r="E21" s="451">
        <v>36000</v>
      </c>
      <c r="F21" s="516">
        <f>ROUNDUP(D24/15,0)</f>
        <v>1</v>
      </c>
      <c r="G21" s="517"/>
      <c r="H21" s="517"/>
      <c r="I21" s="517"/>
      <c r="J21" s="517"/>
    </row>
    <row r="22" spans="2:14">
      <c r="B22" s="444"/>
      <c r="C22" s="453" t="s">
        <v>222</v>
      </c>
      <c r="D22" s="450">
        <v>1</v>
      </c>
      <c r="E22" s="451">
        <v>50000</v>
      </c>
      <c r="F22" s="445"/>
      <c r="G22" s="446"/>
      <c r="H22" s="446"/>
      <c r="I22" s="446"/>
      <c r="J22" s="444"/>
      <c r="L22" s="38"/>
      <c r="M22" s="38"/>
    </row>
    <row r="23" spans="2:14">
      <c r="B23" s="444"/>
      <c r="C23" s="454" t="s">
        <v>199</v>
      </c>
      <c r="D23" s="455">
        <v>3</v>
      </c>
      <c r="E23" s="456">
        <v>48000</v>
      </c>
      <c r="F23" s="516">
        <f>ROUNDUP(D24/8,0)</f>
        <v>1</v>
      </c>
      <c r="G23" s="517"/>
      <c r="H23" s="517"/>
      <c r="I23" s="517"/>
      <c r="J23" s="517"/>
    </row>
    <row r="24" spans="2:14">
      <c r="B24" s="444"/>
      <c r="C24" s="453" t="s">
        <v>223</v>
      </c>
      <c r="D24" s="457">
        <f>ROUNDUP(SUM(J9:J13),0)</f>
        <v>7</v>
      </c>
      <c r="E24" s="451">
        <v>42000</v>
      </c>
      <c r="F24" s="516">
        <f>ROUNDUP(SUM(J9:J13),0)</f>
        <v>7</v>
      </c>
      <c r="G24" s="517"/>
      <c r="H24" s="517"/>
      <c r="I24" s="517"/>
      <c r="J24" s="517"/>
    </row>
    <row r="25" spans="2:14">
      <c r="B25" s="444"/>
      <c r="C25" s="449" t="s">
        <v>112</v>
      </c>
      <c r="D25" s="452">
        <v>0</v>
      </c>
      <c r="E25" s="451">
        <v>40000</v>
      </c>
      <c r="F25" s="516" t="s">
        <v>224</v>
      </c>
      <c r="G25" s="517"/>
      <c r="H25" s="517"/>
      <c r="I25" s="517"/>
      <c r="J25" s="517"/>
    </row>
    <row r="26" spans="2:14" ht="15.95" thickBot="1">
      <c r="B26" s="444"/>
      <c r="C26" s="458"/>
      <c r="D26" s="444"/>
      <c r="E26" s="444"/>
      <c r="F26" s="445"/>
      <c r="G26" s="446"/>
      <c r="H26" s="446"/>
      <c r="I26" s="446"/>
      <c r="J26" s="444"/>
    </row>
    <row r="27" spans="2:14">
      <c r="B27" s="217"/>
      <c r="C27" s="436" t="s">
        <v>225</v>
      </c>
      <c r="D27" s="218"/>
      <c r="E27" s="218"/>
      <c r="F27" s="219"/>
      <c r="G27" s="220"/>
      <c r="H27" s="220"/>
      <c r="I27" s="220"/>
      <c r="J27" s="221"/>
    </row>
    <row r="28" spans="2:14">
      <c r="B28" s="222"/>
      <c r="C28" s="223" t="s">
        <v>226</v>
      </c>
      <c r="D28" s="223"/>
      <c r="E28" s="495" t="s">
        <v>116</v>
      </c>
      <c r="F28" s="495"/>
      <c r="G28" s="495"/>
      <c r="H28" s="263"/>
      <c r="I28" s="263"/>
      <c r="J28" s="224"/>
      <c r="K28" s="222"/>
    </row>
    <row r="29" spans="2:14">
      <c r="B29" s="222"/>
      <c r="C29" s="50" t="s">
        <v>117</v>
      </c>
      <c r="D29" s="51">
        <v>40</v>
      </c>
      <c r="E29" s="497" t="s">
        <v>118</v>
      </c>
      <c r="F29" s="498"/>
      <c r="G29" s="498"/>
      <c r="H29" s="264"/>
      <c r="I29" s="264"/>
      <c r="J29" s="224"/>
    </row>
    <row r="30" spans="2:14">
      <c r="B30" s="222"/>
      <c r="C30" s="52" t="s">
        <v>208</v>
      </c>
      <c r="D30" s="51">
        <v>4</v>
      </c>
      <c r="E30" s="497" t="s">
        <v>209</v>
      </c>
      <c r="F30" s="498"/>
      <c r="G30" s="498"/>
      <c r="H30" s="264"/>
      <c r="I30" s="264"/>
      <c r="J30" s="224"/>
    </row>
    <row r="31" spans="2:14">
      <c r="B31" s="222"/>
      <c r="C31" s="52" t="s">
        <v>121</v>
      </c>
      <c r="D31" s="53">
        <v>0.7</v>
      </c>
      <c r="E31" s="497" t="s">
        <v>227</v>
      </c>
      <c r="F31" s="498"/>
      <c r="G31" s="498"/>
      <c r="H31" s="264"/>
      <c r="I31" s="264"/>
      <c r="J31" s="224"/>
    </row>
    <row r="32" spans="2:14">
      <c r="B32" s="222"/>
      <c r="C32" s="50" t="s">
        <v>123</v>
      </c>
      <c r="D32" s="51">
        <v>10</v>
      </c>
      <c r="E32" s="497" t="s">
        <v>124</v>
      </c>
      <c r="F32" s="498"/>
      <c r="G32" s="498"/>
      <c r="H32" s="264"/>
      <c r="I32" s="264"/>
      <c r="J32" s="224"/>
    </row>
    <row r="33" spans="2:12">
      <c r="B33" s="222"/>
      <c r="C33" s="52" t="s">
        <v>125</v>
      </c>
      <c r="D33" s="51">
        <v>20</v>
      </c>
      <c r="E33" s="497" t="s">
        <v>126</v>
      </c>
      <c r="F33" s="498"/>
      <c r="G33" s="498"/>
      <c r="H33" s="264"/>
      <c r="I33" s="264"/>
      <c r="J33" s="224"/>
    </row>
    <row r="34" spans="2:12">
      <c r="B34" s="222"/>
      <c r="C34" s="52" t="s">
        <v>127</v>
      </c>
      <c r="D34" s="51">
        <v>3</v>
      </c>
      <c r="E34" s="497" t="s">
        <v>128</v>
      </c>
      <c r="F34" s="498"/>
      <c r="G34" s="498"/>
      <c r="H34" s="264"/>
      <c r="I34" s="264"/>
      <c r="J34" s="224"/>
    </row>
    <row r="35" spans="2:12" ht="15.95" thickBot="1">
      <c r="B35" s="222"/>
      <c r="C35" s="54" t="s">
        <v>129</v>
      </c>
      <c r="D35" s="55">
        <v>1</v>
      </c>
      <c r="E35" s="497" t="s">
        <v>130</v>
      </c>
      <c r="F35" s="498"/>
      <c r="G35" s="498"/>
      <c r="H35" s="264"/>
      <c r="I35" s="264"/>
      <c r="J35" s="224"/>
    </row>
    <row r="36" spans="2:12">
      <c r="B36" s="222"/>
      <c r="C36" s="56" t="s">
        <v>131</v>
      </c>
      <c r="D36" s="57">
        <f>IF(D32="","",(52-(SUM(D32:D35)/5))*$D$29*$D$30*$D$31)</f>
        <v>5062.3999999999996</v>
      </c>
      <c r="J36" s="224"/>
    </row>
    <row r="37" spans="2:12" ht="15.95" thickBot="1">
      <c r="B37" s="225"/>
      <c r="C37" s="226" t="s">
        <v>132</v>
      </c>
      <c r="D37" s="227">
        <f>(52*5)-(SUM(D32:D35))</f>
        <v>226</v>
      </c>
      <c r="E37" s="211"/>
      <c r="F37" s="212"/>
      <c r="G37" s="228"/>
      <c r="H37" s="228"/>
      <c r="I37" s="228"/>
      <c r="J37" s="229"/>
    </row>
    <row r="38" spans="2:12">
      <c r="C38" s="10"/>
      <c r="D38" s="59"/>
    </row>
    <row r="39" spans="2:12">
      <c r="C39" s="9" t="s">
        <v>133</v>
      </c>
      <c r="F39" s="11"/>
    </row>
    <row r="40" spans="2:12">
      <c r="F40" s="491" t="s">
        <v>228</v>
      </c>
      <c r="G40" s="501"/>
      <c r="H40" s="501"/>
      <c r="I40" s="501"/>
      <c r="J40" s="501"/>
      <c r="K40" s="501"/>
      <c r="L40" s="492"/>
    </row>
    <row r="41" spans="2:12" ht="35.25" customHeight="1">
      <c r="C41" s="513" t="s">
        <v>229</v>
      </c>
      <c r="D41" s="514"/>
      <c r="E41" s="60"/>
      <c r="F41" s="253"/>
      <c r="G41" s="254" t="s">
        <v>230</v>
      </c>
      <c r="H41" s="254" t="s">
        <v>231</v>
      </c>
      <c r="I41" s="254" t="s">
        <v>232</v>
      </c>
      <c r="J41" s="254" t="s">
        <v>139</v>
      </c>
      <c r="K41" s="254" t="s">
        <v>140</v>
      </c>
      <c r="L41" s="254" t="s">
        <v>141</v>
      </c>
    </row>
    <row r="42" spans="2:12">
      <c r="C42" s="163" t="s">
        <v>142</v>
      </c>
      <c r="D42" s="62"/>
      <c r="E42" s="63"/>
      <c r="F42" s="158" t="s">
        <v>142</v>
      </c>
      <c r="G42" s="62"/>
      <c r="H42" s="62"/>
      <c r="I42" s="62"/>
      <c r="J42" s="62"/>
      <c r="K42" s="62"/>
      <c r="L42" s="62"/>
    </row>
    <row r="43" spans="2:12">
      <c r="C43" s="64" t="s">
        <v>143</v>
      </c>
      <c r="D43" s="65">
        <f>SUMPRODUCT(D20:D25,E20:E25)</f>
        <v>556500</v>
      </c>
      <c r="E43" s="66"/>
      <c r="F43" s="73" t="s">
        <v>143</v>
      </c>
      <c r="G43" s="65">
        <f>SUM(I43:L43)</f>
        <v>1849988.4375</v>
      </c>
      <c r="H43" s="267">
        <f>IF('6. New Medicaid Provider Costs'!$F$5&lt;&gt;"Apply to Tenancy Supports Tab 6",SUM('6. New Medicaid Provider Costs'!$I$11:$I$13),0)</f>
        <v>45000</v>
      </c>
      <c r="I43" s="65"/>
      <c r="J43" s="65">
        <f>D43+H43</f>
        <v>601500</v>
      </c>
      <c r="K43" s="65">
        <f>J43*(1+$G$89)</f>
        <v>616537.5</v>
      </c>
      <c r="L43" s="65">
        <f>K43*(1+$G$89)</f>
        <v>631950.9375</v>
      </c>
    </row>
    <row r="44" spans="2:12">
      <c r="C44" s="64" t="s">
        <v>144</v>
      </c>
      <c r="D44" s="65">
        <f>D43*'3. Basic Input &amp; Assumptions'!$H$19</f>
        <v>157266.90000000002</v>
      </c>
      <c r="E44" s="66"/>
      <c r="F44" s="73" t="s">
        <v>144</v>
      </c>
      <c r="G44" s="65">
        <f t="shared" ref="G44:G47" si="0">SUM(I44:L44)</f>
        <v>522806.73243750003</v>
      </c>
      <c r="H44" s="267">
        <f>IF('6. New Medicaid Provider Costs'!$F$5&lt;&gt;"Apply to Housing Stabilization Services Tab 4",SUM('6. New Medicaid Provider Costs'!$I$11:$I$13)*'3. Basic Input &amp; Assumptions'!$H$19,0)</f>
        <v>0</v>
      </c>
      <c r="I44" s="65"/>
      <c r="J44" s="65">
        <f>J43*'3. Basic Input &amp; Assumptions'!$H$19</f>
        <v>169983.90000000002</v>
      </c>
      <c r="K44" s="65">
        <f>K43*'3. Basic Input &amp; Assumptions'!$H$19</f>
        <v>174233.4975</v>
      </c>
      <c r="L44" s="65">
        <f>L43*'3. Basic Input &amp; Assumptions'!$H$19</f>
        <v>178589.33493750001</v>
      </c>
    </row>
    <row r="45" spans="2:12">
      <c r="C45" s="64" t="s">
        <v>145</v>
      </c>
      <c r="D45" s="67"/>
      <c r="E45" s="66"/>
      <c r="F45" s="73" t="s">
        <v>145</v>
      </c>
      <c r="G45" s="267">
        <f t="shared" si="0"/>
        <v>0</v>
      </c>
      <c r="H45" s="267">
        <f>IF('6. New Medicaid Provider Costs'!$F$5&lt;&gt;"Apply to Housing Stabilization Services Tab 4",SUM('6. New Medicaid Provider Costs'!$I$15:$I$16),0)</f>
        <v>0</v>
      </c>
      <c r="I45" s="65"/>
      <c r="J45" s="67">
        <f>D45+H45</f>
        <v>0</v>
      </c>
      <c r="K45" s="67">
        <f t="shared" ref="K45:L47" si="1">J45*(1+$G$89)</f>
        <v>0</v>
      </c>
      <c r="L45" s="67">
        <f t="shared" si="1"/>
        <v>0</v>
      </c>
    </row>
    <row r="46" spans="2:12">
      <c r="C46" s="64" t="s">
        <v>146</v>
      </c>
      <c r="D46" s="67"/>
      <c r="E46" s="66"/>
      <c r="F46" s="73" t="s">
        <v>146</v>
      </c>
      <c r="G46" s="267">
        <f t="shared" si="0"/>
        <v>4500</v>
      </c>
      <c r="H46" s="267">
        <f>IF('6. New Medicaid Provider Costs'!$F$5&lt;&gt;"Apply to Housing Stabilization Services Tab 4",'6. New Medicaid Provider Costs'!$I$18,0)</f>
        <v>0</v>
      </c>
      <c r="I46" s="267">
        <f>SUM('5. General Start Up Cost'!$F$10:$F$15)</f>
        <v>4500</v>
      </c>
      <c r="J46" s="67">
        <f>D46+H46</f>
        <v>0</v>
      </c>
      <c r="K46" s="67">
        <f t="shared" si="1"/>
        <v>0</v>
      </c>
      <c r="L46" s="67">
        <f t="shared" si="1"/>
        <v>0</v>
      </c>
    </row>
    <row r="47" spans="2:12">
      <c r="C47" s="367" t="s">
        <v>147</v>
      </c>
      <c r="D47" s="68">
        <f>D43*('3. Basic Input &amp; Assumptions'!H18)</f>
        <v>8347.5</v>
      </c>
      <c r="E47" s="74" t="s">
        <v>148</v>
      </c>
      <c r="F47" s="153" t="s">
        <v>147</v>
      </c>
      <c r="G47" s="268">
        <f t="shared" si="0"/>
        <v>25673.779687499999</v>
      </c>
      <c r="H47" s="317">
        <f>IF('6. New Medicaid Provider Costs'!$F$5&lt;&gt;"Apply to Housing Stabilization Services Tab 4",SUM('6. New Medicaid Provider Costs'!$I$20:$I$22),0)</f>
        <v>0</v>
      </c>
      <c r="I47" s="268">
        <f>SUM('5. General Start Up Cost'!$F$17:$F$20)</f>
        <v>0</v>
      </c>
      <c r="J47" s="68">
        <f>D47+H47</f>
        <v>8347.5</v>
      </c>
      <c r="K47" s="68">
        <f t="shared" si="1"/>
        <v>8556.1875</v>
      </c>
      <c r="L47" s="68">
        <f t="shared" si="1"/>
        <v>8770.0921874999985</v>
      </c>
    </row>
    <row r="48" spans="2:12">
      <c r="C48" s="69" t="s">
        <v>149</v>
      </c>
      <c r="D48" s="62">
        <f>SUM(D43:D47)</f>
        <v>722114.4</v>
      </c>
      <c r="E48" s="66"/>
      <c r="F48" s="70" t="s">
        <v>149</v>
      </c>
      <c r="G48" s="62">
        <f>SUM(I48:L48)</f>
        <v>2402968.9496249999</v>
      </c>
      <c r="H48" s="272">
        <f>SUM(H43:H47)</f>
        <v>45000</v>
      </c>
      <c r="I48" s="62">
        <f>SUM(I43:I47)</f>
        <v>4500</v>
      </c>
      <c r="J48" s="62">
        <f>SUM(J43:J47)</f>
        <v>779831.4</v>
      </c>
      <c r="K48" s="62">
        <f>SUM(K43:K47)</f>
        <v>799327.18500000006</v>
      </c>
      <c r="L48" s="62">
        <f>SUM(L43:L47)</f>
        <v>819310.36462500005</v>
      </c>
    </row>
    <row r="49" spans="3:12">
      <c r="C49" s="71"/>
      <c r="D49" s="65"/>
      <c r="E49" s="66"/>
      <c r="F49" s="72"/>
      <c r="G49" s="65"/>
      <c r="H49" s="65"/>
      <c r="I49" s="65"/>
      <c r="J49" s="65"/>
      <c r="K49" s="65"/>
      <c r="L49" s="65"/>
    </row>
    <row r="50" spans="3:12">
      <c r="C50" s="162" t="s">
        <v>233</v>
      </c>
      <c r="D50" s="65"/>
      <c r="E50" s="66"/>
      <c r="F50" s="159" t="s">
        <v>150</v>
      </c>
      <c r="G50" s="65"/>
      <c r="H50" s="65"/>
      <c r="I50" s="65"/>
      <c r="J50" s="65"/>
      <c r="K50" s="65"/>
      <c r="L50" s="65"/>
    </row>
    <row r="51" spans="3:12">
      <c r="C51" s="64" t="s">
        <v>234</v>
      </c>
      <c r="D51" s="67">
        <v>8500</v>
      </c>
      <c r="E51" s="66"/>
      <c r="F51" s="73" t="s">
        <v>151</v>
      </c>
      <c r="G51" s="267">
        <f>SUM(I51:L51)</f>
        <v>30642.8125</v>
      </c>
      <c r="H51" s="65"/>
      <c r="I51" s="267">
        <f>'5. General Start Up Cost'!$F$24</f>
        <v>4500</v>
      </c>
      <c r="J51" s="67">
        <f t="shared" ref="J51:J58" si="2">D51</f>
        <v>8500</v>
      </c>
      <c r="K51" s="67">
        <f t="shared" ref="K51:L57" si="3">J51*(1+$G$89)</f>
        <v>8712.5</v>
      </c>
      <c r="L51" s="67">
        <f t="shared" si="3"/>
        <v>8930.3125</v>
      </c>
    </row>
    <row r="52" spans="3:12">
      <c r="C52" s="64" t="s">
        <v>235</v>
      </c>
      <c r="D52" s="67">
        <v>1000</v>
      </c>
      <c r="E52" s="66"/>
      <c r="F52" s="73" t="s">
        <v>152</v>
      </c>
      <c r="G52" s="267">
        <f t="shared" ref="G52:G57" si="4">SUM(I52:L52)</f>
        <v>3075.625</v>
      </c>
      <c r="H52" s="65"/>
      <c r="I52" s="267">
        <f>'5. General Start Up Cost'!$F$25</f>
        <v>0</v>
      </c>
      <c r="J52" s="67">
        <f t="shared" si="2"/>
        <v>1000</v>
      </c>
      <c r="K52" s="67">
        <f t="shared" si="3"/>
        <v>1025</v>
      </c>
      <c r="L52" s="67">
        <f t="shared" si="3"/>
        <v>1050.625</v>
      </c>
    </row>
    <row r="53" spans="3:12">
      <c r="C53" s="64" t="s">
        <v>236</v>
      </c>
      <c r="D53" s="67">
        <v>1000</v>
      </c>
      <c r="E53" s="66"/>
      <c r="F53" s="73" t="s">
        <v>153</v>
      </c>
      <c r="G53" s="267">
        <f t="shared" si="4"/>
        <v>3075.625</v>
      </c>
      <c r="H53" s="65"/>
      <c r="I53" s="267">
        <f>'5. General Start Up Cost'!$F$26</f>
        <v>0</v>
      </c>
      <c r="J53" s="67">
        <f t="shared" si="2"/>
        <v>1000</v>
      </c>
      <c r="K53" s="67">
        <f t="shared" si="3"/>
        <v>1025</v>
      </c>
      <c r="L53" s="67">
        <f t="shared" si="3"/>
        <v>1050.625</v>
      </c>
    </row>
    <row r="54" spans="3:12">
      <c r="C54" s="64" t="s">
        <v>237</v>
      </c>
      <c r="D54" s="67">
        <v>1000</v>
      </c>
      <c r="E54" s="66"/>
      <c r="F54" s="73" t="s">
        <v>154</v>
      </c>
      <c r="G54" s="267">
        <f t="shared" si="4"/>
        <v>3075.625</v>
      </c>
      <c r="H54" s="65"/>
      <c r="I54" s="65"/>
      <c r="J54" s="67">
        <f t="shared" si="2"/>
        <v>1000</v>
      </c>
      <c r="K54" s="67">
        <f t="shared" si="3"/>
        <v>1025</v>
      </c>
      <c r="L54" s="67">
        <f t="shared" si="3"/>
        <v>1050.625</v>
      </c>
    </row>
    <row r="55" spans="3:12" ht="30.95">
      <c r="C55" s="73" t="s">
        <v>238</v>
      </c>
      <c r="D55" s="67">
        <v>0</v>
      </c>
      <c r="E55" s="66"/>
      <c r="F55" s="73" t="s">
        <v>155</v>
      </c>
      <c r="G55" s="267">
        <f t="shared" si="4"/>
        <v>0</v>
      </c>
      <c r="H55" s="65"/>
      <c r="I55" s="267">
        <f>'5. General Start Up Cost'!$F$27</f>
        <v>0</v>
      </c>
      <c r="J55" s="67">
        <f t="shared" si="2"/>
        <v>0</v>
      </c>
      <c r="K55" s="67">
        <f t="shared" si="3"/>
        <v>0</v>
      </c>
      <c r="L55" s="67">
        <f t="shared" si="3"/>
        <v>0</v>
      </c>
    </row>
    <row r="56" spans="3:12">
      <c r="C56" s="64" t="s">
        <v>239</v>
      </c>
      <c r="D56" s="67">
        <v>0</v>
      </c>
      <c r="E56" s="66"/>
      <c r="F56" s="73" t="s">
        <v>156</v>
      </c>
      <c r="G56" s="267">
        <f t="shared" si="4"/>
        <v>0</v>
      </c>
      <c r="H56" s="65"/>
      <c r="I56" s="267">
        <f>'5. General Start Up Cost'!$F$28</f>
        <v>0</v>
      </c>
      <c r="J56" s="67">
        <f t="shared" si="2"/>
        <v>0</v>
      </c>
      <c r="K56" s="67">
        <f t="shared" si="3"/>
        <v>0</v>
      </c>
      <c r="L56" s="67">
        <f t="shared" si="3"/>
        <v>0</v>
      </c>
    </row>
    <row r="57" spans="3:12">
      <c r="C57" s="64" t="s">
        <v>240</v>
      </c>
      <c r="D57" s="67">
        <v>0</v>
      </c>
      <c r="E57" s="66"/>
      <c r="F57" s="73" t="s">
        <v>157</v>
      </c>
      <c r="G57" s="267">
        <f t="shared" si="4"/>
        <v>0</v>
      </c>
      <c r="H57" s="267">
        <f>IF('6. New Medicaid Provider Costs'!$F$5&lt;&gt;"Apply to Housing Stabilization Services Tab 4",'6. New Medicaid Provider Costs'!$I$28,0)</f>
        <v>0</v>
      </c>
      <c r="I57" s="65"/>
      <c r="J57" s="67">
        <f>D57+H57</f>
        <v>0</v>
      </c>
      <c r="K57" s="67">
        <f t="shared" si="3"/>
        <v>0</v>
      </c>
      <c r="L57" s="67">
        <f t="shared" si="3"/>
        <v>0</v>
      </c>
    </row>
    <row r="58" spans="3:12">
      <c r="C58" s="64" t="s">
        <v>158</v>
      </c>
      <c r="D58" s="65">
        <f>D59*D60*D37*D61</f>
        <v>25990</v>
      </c>
      <c r="E58" s="74" t="s">
        <v>148</v>
      </c>
      <c r="F58" s="64" t="s">
        <v>158</v>
      </c>
      <c r="G58" s="65">
        <f>SUM(I58:L58)</f>
        <v>83260</v>
      </c>
      <c r="H58" s="65"/>
      <c r="I58" s="65"/>
      <c r="J58" s="65">
        <f t="shared" si="2"/>
        <v>25990</v>
      </c>
      <c r="K58" s="65">
        <f>K59*K60*249*K61</f>
        <v>28635</v>
      </c>
      <c r="L58" s="65">
        <f>L59*L60*249*L61</f>
        <v>28635</v>
      </c>
    </row>
    <row r="59" spans="3:12">
      <c r="C59" s="154" t="s">
        <v>159</v>
      </c>
      <c r="D59" s="150">
        <f>'3. Basic Input &amp; Assumptions'!H16</f>
        <v>0.57499999999999996</v>
      </c>
      <c r="E59" s="74" t="s">
        <v>160</v>
      </c>
      <c r="F59" s="166" t="s">
        <v>159</v>
      </c>
      <c r="G59" s="372">
        <f>'3. Basic Input &amp; Assumptions'!$H$16</f>
        <v>0.57499999999999996</v>
      </c>
      <c r="H59" s="269"/>
      <c r="I59" s="269"/>
      <c r="J59" s="75">
        <f>'3. Basic Input &amp; Assumptions'!H16</f>
        <v>0.57499999999999996</v>
      </c>
      <c r="K59" s="75">
        <f>'3. Basic Input &amp; Assumptions'!H16</f>
        <v>0.57499999999999996</v>
      </c>
      <c r="L59" s="75">
        <f>'3. Basic Input &amp; Assumptions'!H16</f>
        <v>0.57499999999999996</v>
      </c>
    </row>
    <row r="60" spans="3:12">
      <c r="C60" s="155" t="s">
        <v>161</v>
      </c>
      <c r="D60" s="76">
        <v>20</v>
      </c>
      <c r="E60" s="77"/>
      <c r="F60" s="167" t="s">
        <v>161</v>
      </c>
      <c r="G60" s="373">
        <f>'3. Basic Input &amp; Assumptions'!$H$14</f>
        <v>20</v>
      </c>
      <c r="H60" s="270"/>
      <c r="I60" s="270"/>
      <c r="J60" s="76">
        <f t="shared" ref="J60:J71" si="5">D60</f>
        <v>20</v>
      </c>
      <c r="K60" s="76">
        <f>J60</f>
        <v>20</v>
      </c>
      <c r="L60" s="76">
        <f>K60</f>
        <v>20</v>
      </c>
    </row>
    <row r="61" spans="3:12" ht="30.95">
      <c r="C61" s="155" t="s">
        <v>162</v>
      </c>
      <c r="D61" s="76">
        <v>10</v>
      </c>
      <c r="E61" s="443" t="s">
        <v>241</v>
      </c>
      <c r="F61" s="167" t="s">
        <v>162</v>
      </c>
      <c r="G61" s="373">
        <f>AVERAGE(I61:L61)</f>
        <v>10</v>
      </c>
      <c r="H61" s="270"/>
      <c r="I61" s="270"/>
      <c r="J61" s="76">
        <f t="shared" si="5"/>
        <v>10</v>
      </c>
      <c r="K61" s="76">
        <f>J61</f>
        <v>10</v>
      </c>
      <c r="L61" s="76">
        <f>K61</f>
        <v>10</v>
      </c>
    </row>
    <row r="62" spans="3:12">
      <c r="C62" s="64" t="s">
        <v>163</v>
      </c>
      <c r="D62" s="67">
        <v>0</v>
      </c>
      <c r="E62" s="74"/>
      <c r="F62" s="73" t="s">
        <v>163</v>
      </c>
      <c r="G62" s="267">
        <f>SUM(I62:L62)</f>
        <v>0</v>
      </c>
      <c r="H62" s="65"/>
      <c r="I62" s="267">
        <f>'5. General Start Up Cost'!$F$29</f>
        <v>0</v>
      </c>
      <c r="J62" s="67">
        <f t="shared" si="5"/>
        <v>0</v>
      </c>
      <c r="K62" s="67">
        <f t="shared" ref="K62:L71" si="6">J62*(1+$G$89)</f>
        <v>0</v>
      </c>
      <c r="L62" s="67">
        <f t="shared" si="6"/>
        <v>0</v>
      </c>
    </row>
    <row r="63" spans="3:12">
      <c r="C63" s="64" t="s">
        <v>164</v>
      </c>
      <c r="D63" s="67">
        <v>0</v>
      </c>
      <c r="E63" s="66"/>
      <c r="F63" s="73" t="s">
        <v>164</v>
      </c>
      <c r="G63" s="267">
        <f t="shared" ref="G63:G71" si="7">SUM(I63:L63)</f>
        <v>0</v>
      </c>
      <c r="H63" s="65"/>
      <c r="I63" s="267">
        <f>'5. General Start Up Cost'!$F$30</f>
        <v>0</v>
      </c>
      <c r="J63" s="67">
        <f t="shared" si="5"/>
        <v>0</v>
      </c>
      <c r="K63" s="67">
        <f t="shared" si="6"/>
        <v>0</v>
      </c>
      <c r="L63" s="67">
        <f t="shared" si="6"/>
        <v>0</v>
      </c>
    </row>
    <row r="64" spans="3:12">
      <c r="C64" s="64" t="s">
        <v>165</v>
      </c>
      <c r="D64" s="67">
        <v>0</v>
      </c>
      <c r="E64" s="66"/>
      <c r="F64" s="73" t="s">
        <v>165</v>
      </c>
      <c r="G64" s="267">
        <f t="shared" si="7"/>
        <v>0</v>
      </c>
      <c r="H64" s="65"/>
      <c r="I64" s="65"/>
      <c r="J64" s="67">
        <f t="shared" si="5"/>
        <v>0</v>
      </c>
      <c r="K64" s="67">
        <f t="shared" si="6"/>
        <v>0</v>
      </c>
      <c r="L64" s="67">
        <f t="shared" si="6"/>
        <v>0</v>
      </c>
    </row>
    <row r="65" spans="3:12">
      <c r="C65" s="64" t="s">
        <v>166</v>
      </c>
      <c r="D65" s="67">
        <v>0</v>
      </c>
      <c r="E65" s="66"/>
      <c r="F65" s="73" t="s">
        <v>166</v>
      </c>
      <c r="G65" s="267">
        <f t="shared" si="7"/>
        <v>0</v>
      </c>
      <c r="H65" s="65"/>
      <c r="I65" s="65"/>
      <c r="J65" s="67">
        <f t="shared" si="5"/>
        <v>0</v>
      </c>
      <c r="K65" s="67">
        <f t="shared" si="6"/>
        <v>0</v>
      </c>
      <c r="L65" s="67">
        <f t="shared" si="6"/>
        <v>0</v>
      </c>
    </row>
    <row r="66" spans="3:12">
      <c r="C66" s="64" t="s">
        <v>167</v>
      </c>
      <c r="D66" s="67">
        <v>0</v>
      </c>
      <c r="E66" s="66"/>
      <c r="F66" s="73" t="s">
        <v>167</v>
      </c>
      <c r="G66" s="267">
        <f t="shared" si="7"/>
        <v>0</v>
      </c>
      <c r="H66" s="65"/>
      <c r="I66" s="267">
        <f>'5. General Start Up Cost'!$F$31</f>
        <v>0</v>
      </c>
      <c r="J66" s="67">
        <f t="shared" si="5"/>
        <v>0</v>
      </c>
      <c r="K66" s="67">
        <f t="shared" si="6"/>
        <v>0</v>
      </c>
      <c r="L66" s="67">
        <f t="shared" si="6"/>
        <v>0</v>
      </c>
    </row>
    <row r="67" spans="3:12" ht="46.5">
      <c r="C67" s="73" t="s">
        <v>168</v>
      </c>
      <c r="D67" s="67">
        <v>0</v>
      </c>
      <c r="E67" s="66"/>
      <c r="F67" s="73" t="s">
        <v>168</v>
      </c>
      <c r="G67" s="267">
        <f t="shared" si="7"/>
        <v>0</v>
      </c>
      <c r="H67" s="267">
        <f>IF('6. New Medicaid Provider Costs'!$F$5&lt;&gt;"Apply to Housing Stabilization Services Tab 4",SUM('6. New Medicaid Provider Costs'!$I$29:$I$40),0)</f>
        <v>0</v>
      </c>
      <c r="I67" s="267">
        <f>SUM('5. General Start Up Cost'!$F$33:$F$42)</f>
        <v>0</v>
      </c>
      <c r="J67" s="67">
        <f>D67+H67</f>
        <v>0</v>
      </c>
      <c r="K67" s="67">
        <f t="shared" si="6"/>
        <v>0</v>
      </c>
      <c r="L67" s="67">
        <f t="shared" si="6"/>
        <v>0</v>
      </c>
    </row>
    <row r="68" spans="3:12">
      <c r="C68" s="64" t="s">
        <v>170</v>
      </c>
      <c r="D68" s="67">
        <v>0</v>
      </c>
      <c r="E68" s="66"/>
      <c r="F68" s="73" t="s">
        <v>170</v>
      </c>
      <c r="G68" s="267">
        <f t="shared" si="7"/>
        <v>0</v>
      </c>
      <c r="H68" s="65"/>
      <c r="I68" s="65"/>
      <c r="J68" s="67">
        <f t="shared" si="5"/>
        <v>0</v>
      </c>
      <c r="K68" s="67">
        <f t="shared" si="6"/>
        <v>0</v>
      </c>
      <c r="L68" s="67">
        <f t="shared" si="6"/>
        <v>0</v>
      </c>
    </row>
    <row r="69" spans="3:12">
      <c r="C69" s="64" t="s">
        <v>171</v>
      </c>
      <c r="D69" s="67">
        <v>0</v>
      </c>
      <c r="E69" s="66"/>
      <c r="F69" s="73" t="s">
        <v>171</v>
      </c>
      <c r="G69" s="267">
        <f t="shared" si="7"/>
        <v>0</v>
      </c>
      <c r="H69" s="65"/>
      <c r="I69" s="65"/>
      <c r="J69" s="67">
        <f t="shared" si="5"/>
        <v>0</v>
      </c>
      <c r="K69" s="67">
        <f t="shared" si="6"/>
        <v>0</v>
      </c>
      <c r="L69" s="67">
        <f t="shared" si="6"/>
        <v>0</v>
      </c>
    </row>
    <row r="70" spans="3:12" ht="30.95">
      <c r="C70" s="73" t="s">
        <v>172</v>
      </c>
      <c r="D70" s="67">
        <v>0</v>
      </c>
      <c r="E70" s="66"/>
      <c r="F70" s="73" t="s">
        <v>172</v>
      </c>
      <c r="G70" s="267">
        <f t="shared" si="7"/>
        <v>0</v>
      </c>
      <c r="H70" s="267">
        <f>IF('6. New Medicaid Provider Costs'!$F$5&lt;&gt;"Apply to Housing Stabilization Services Tab 4",SUM('6. New Medicaid Provider Costs'!$I$41:$I$42),0)</f>
        <v>0</v>
      </c>
      <c r="I70" s="267">
        <f>SUM('5. General Start Up Cost'!$F$46:$F$50)</f>
        <v>0</v>
      </c>
      <c r="J70" s="67">
        <f>D70+H70</f>
        <v>0</v>
      </c>
      <c r="K70" s="67">
        <f t="shared" si="6"/>
        <v>0</v>
      </c>
      <c r="L70" s="67">
        <f t="shared" si="6"/>
        <v>0</v>
      </c>
    </row>
    <row r="71" spans="3:12">
      <c r="C71" s="78" t="s">
        <v>173</v>
      </c>
      <c r="D71" s="68">
        <v>0</v>
      </c>
      <c r="E71" s="66"/>
      <c r="F71" s="78" t="s">
        <v>173</v>
      </c>
      <c r="G71" s="268">
        <f t="shared" si="7"/>
        <v>0</v>
      </c>
      <c r="H71" s="361"/>
      <c r="I71" s="81"/>
      <c r="J71" s="68">
        <f t="shared" si="5"/>
        <v>0</v>
      </c>
      <c r="K71" s="68">
        <f t="shared" si="6"/>
        <v>0</v>
      </c>
      <c r="L71" s="68">
        <f t="shared" si="6"/>
        <v>0</v>
      </c>
    </row>
    <row r="72" spans="3:12">
      <c r="C72" s="79" t="s">
        <v>174</v>
      </c>
      <c r="D72" s="62">
        <f>SUM(D51:D71)</f>
        <v>37520.574999999997</v>
      </c>
      <c r="E72" s="66"/>
      <c r="F72" s="79" t="s">
        <v>174</v>
      </c>
      <c r="G72" s="62">
        <f>SUM(I72:L72)</f>
        <v>123221.41249999999</v>
      </c>
      <c r="H72" s="62">
        <f>SUM(H51:H71)</f>
        <v>0</v>
      </c>
      <c r="I72" s="62">
        <f>SUM(I51:I71)</f>
        <v>4500</v>
      </c>
      <c r="J72" s="62">
        <f>SUM(J51:J71)</f>
        <v>37520.574999999997</v>
      </c>
      <c r="K72" s="62">
        <f>SUM(K51:K71)</f>
        <v>40453.074999999997</v>
      </c>
      <c r="L72" s="62">
        <f>SUM(L51:L71)</f>
        <v>40747.762499999997</v>
      </c>
    </row>
    <row r="73" spans="3:12">
      <c r="C73" s="71"/>
      <c r="D73" s="65"/>
      <c r="E73" s="66"/>
      <c r="F73" s="71"/>
      <c r="G73" s="65"/>
      <c r="H73" s="65"/>
      <c r="I73" s="65"/>
      <c r="J73" s="65"/>
      <c r="K73" s="65"/>
      <c r="L73" s="65"/>
    </row>
    <row r="74" spans="3:12">
      <c r="C74" s="162" t="s">
        <v>175</v>
      </c>
      <c r="D74" s="65">
        <f>D48+D72</f>
        <v>759634.97499999998</v>
      </c>
      <c r="E74" s="66"/>
      <c r="F74" s="162" t="s">
        <v>175</v>
      </c>
      <c r="G74" s="65">
        <f>SUM(I74:L74)</f>
        <v>2526190.362125</v>
      </c>
      <c r="H74" s="267">
        <f>SUM(H48,H72)</f>
        <v>45000</v>
      </c>
      <c r="I74" s="267">
        <f>SUM(I48,I72)</f>
        <v>9000</v>
      </c>
      <c r="J74" s="65">
        <f>J48+J72</f>
        <v>817351.97499999998</v>
      </c>
      <c r="K74" s="65">
        <f>K48+K72</f>
        <v>839780.26</v>
      </c>
      <c r="L74" s="65">
        <f>L48+L72</f>
        <v>860058.127125</v>
      </c>
    </row>
    <row r="75" spans="3:12">
      <c r="C75" s="164" t="s">
        <v>176</v>
      </c>
      <c r="D75" s="81">
        <f>D74*('3. Basic Input &amp; Assumptions'!H13)</f>
        <v>113945.24625</v>
      </c>
      <c r="E75" s="66"/>
      <c r="F75" s="164" t="s">
        <v>176</v>
      </c>
      <c r="G75" s="81">
        <f>SUM(I75:L75)</f>
        <v>378928.55431874999</v>
      </c>
      <c r="H75" s="268">
        <f>H74*'3. Basic Input &amp; Assumptions'!$H$13</f>
        <v>6750</v>
      </c>
      <c r="I75" s="268">
        <f>I74*'3. Basic Input &amp; Assumptions'!$H$13</f>
        <v>1350</v>
      </c>
      <c r="J75" s="81">
        <f>J74*('3. Basic Input &amp; Assumptions'!$H$13)</f>
        <v>122602.79624999998</v>
      </c>
      <c r="K75" s="81">
        <f>K74*('3. Basic Input &amp; Assumptions'!$H$13)</f>
        <v>125967.03899999999</v>
      </c>
      <c r="L75" s="81">
        <f>L74*('3. Basic Input &amp; Assumptions'!H13)</f>
        <v>129008.71906875</v>
      </c>
    </row>
    <row r="76" spans="3:12">
      <c r="C76" s="163" t="s">
        <v>177</v>
      </c>
      <c r="D76" s="62">
        <f>D74+D75</f>
        <v>873580.22124999994</v>
      </c>
      <c r="E76" s="66"/>
      <c r="F76" s="163" t="s">
        <v>177</v>
      </c>
      <c r="G76" s="62">
        <f>SUM(I76:L76)</f>
        <v>2905118.9164437498</v>
      </c>
      <c r="H76" s="271">
        <f>SUM(H74:H75)</f>
        <v>51750</v>
      </c>
      <c r="I76" s="271">
        <f>SUM(I74:I75)</f>
        <v>10350</v>
      </c>
      <c r="J76" s="62">
        <f>J74+J75</f>
        <v>939954.77124999999</v>
      </c>
      <c r="K76" s="62">
        <f>K74+K75</f>
        <v>965747.299</v>
      </c>
      <c r="L76" s="62">
        <f>L74+L75</f>
        <v>989066.84619375004</v>
      </c>
    </row>
    <row r="77" spans="3:12">
      <c r="C77" s="163"/>
      <c r="D77" s="65"/>
      <c r="E77" s="66"/>
      <c r="F77" s="163"/>
      <c r="G77" s="65"/>
      <c r="H77" s="65"/>
      <c r="I77" s="65"/>
      <c r="J77" s="65"/>
      <c r="K77" s="65"/>
      <c r="L77" s="65"/>
    </row>
    <row r="78" spans="3:12">
      <c r="C78" s="162" t="s">
        <v>178</v>
      </c>
      <c r="D78" s="65"/>
      <c r="E78" s="63"/>
      <c r="F78" s="162" t="s">
        <v>178</v>
      </c>
      <c r="G78" s="65"/>
      <c r="H78" s="65"/>
      <c r="I78" s="65"/>
      <c r="J78" s="65"/>
      <c r="K78" s="65"/>
      <c r="L78" s="65"/>
    </row>
    <row r="79" spans="3:12">
      <c r="C79" s="279" t="s">
        <v>179</v>
      </c>
      <c r="D79" s="67">
        <v>0</v>
      </c>
      <c r="E79" s="63"/>
      <c r="F79" s="279" t="s">
        <v>179</v>
      </c>
      <c r="G79" s="267">
        <f>SUM(I79:L79)</f>
        <v>0</v>
      </c>
      <c r="H79" s="67"/>
      <c r="I79" s="67">
        <v>0</v>
      </c>
      <c r="J79" s="67">
        <f t="shared" ref="J79" si="8">D79</f>
        <v>0</v>
      </c>
      <c r="K79" s="67">
        <f t="shared" ref="K79:L79" si="9">J79</f>
        <v>0</v>
      </c>
      <c r="L79" s="67">
        <f t="shared" si="9"/>
        <v>0</v>
      </c>
    </row>
    <row r="80" spans="3:12">
      <c r="C80" s="64" t="s">
        <v>180</v>
      </c>
      <c r="D80" s="67">
        <v>0</v>
      </c>
      <c r="E80" s="63"/>
      <c r="F80" s="64" t="s">
        <v>180</v>
      </c>
      <c r="G80" s="267">
        <f t="shared" ref="G80:G84" si="10">SUM(I80:L80)</f>
        <v>0</v>
      </c>
      <c r="H80" s="67"/>
      <c r="I80" s="67">
        <v>0</v>
      </c>
      <c r="J80" s="67">
        <f t="shared" ref="J80:J85" si="11">D80</f>
        <v>0</v>
      </c>
      <c r="K80" s="67">
        <f t="shared" ref="K80:L84" si="12">J80</f>
        <v>0</v>
      </c>
      <c r="L80" s="67">
        <f t="shared" si="12"/>
        <v>0</v>
      </c>
    </row>
    <row r="81" spans="3:12">
      <c r="C81" s="64" t="s">
        <v>181</v>
      </c>
      <c r="D81" s="67">
        <v>0</v>
      </c>
      <c r="E81" s="63"/>
      <c r="F81" s="64" t="s">
        <v>181</v>
      </c>
      <c r="G81" s="267">
        <f t="shared" si="10"/>
        <v>0</v>
      </c>
      <c r="H81" s="67"/>
      <c r="I81" s="67">
        <v>0</v>
      </c>
      <c r="J81" s="67">
        <f t="shared" si="11"/>
        <v>0</v>
      </c>
      <c r="K81" s="67">
        <f t="shared" si="12"/>
        <v>0</v>
      </c>
      <c r="L81" s="67">
        <f t="shared" si="12"/>
        <v>0</v>
      </c>
    </row>
    <row r="82" spans="3:12">
      <c r="C82" s="64" t="s">
        <v>182</v>
      </c>
      <c r="D82" s="67">
        <v>0</v>
      </c>
      <c r="E82" s="63"/>
      <c r="F82" s="64" t="s">
        <v>182</v>
      </c>
      <c r="G82" s="267">
        <f t="shared" si="10"/>
        <v>0</v>
      </c>
      <c r="H82" s="67"/>
      <c r="I82" s="67">
        <v>0</v>
      </c>
      <c r="J82" s="67">
        <f t="shared" si="11"/>
        <v>0</v>
      </c>
      <c r="K82" s="67">
        <f t="shared" si="12"/>
        <v>0</v>
      </c>
      <c r="L82" s="67">
        <f t="shared" si="12"/>
        <v>0</v>
      </c>
    </row>
    <row r="83" spans="3:12">
      <c r="C83" s="64" t="s">
        <v>183</v>
      </c>
      <c r="D83" s="67">
        <v>0</v>
      </c>
      <c r="E83" s="63"/>
      <c r="F83" s="64" t="s">
        <v>183</v>
      </c>
      <c r="G83" s="267">
        <f t="shared" si="10"/>
        <v>0</v>
      </c>
      <c r="H83" s="67"/>
      <c r="I83" s="67">
        <v>0</v>
      </c>
      <c r="J83" s="67">
        <f t="shared" si="11"/>
        <v>0</v>
      </c>
      <c r="K83" s="67">
        <f t="shared" si="12"/>
        <v>0</v>
      </c>
      <c r="L83" s="67">
        <f t="shared" si="12"/>
        <v>0</v>
      </c>
    </row>
    <row r="84" spans="3:12">
      <c r="C84" s="83" t="s">
        <v>184</v>
      </c>
      <c r="D84" s="68">
        <v>0</v>
      </c>
      <c r="E84" s="63"/>
      <c r="F84" s="83" t="s">
        <v>184</v>
      </c>
      <c r="G84" s="268">
        <f t="shared" si="10"/>
        <v>0</v>
      </c>
      <c r="H84" s="68"/>
      <c r="I84" s="68">
        <v>0</v>
      </c>
      <c r="J84" s="68">
        <f t="shared" si="11"/>
        <v>0</v>
      </c>
      <c r="K84" s="68">
        <f t="shared" si="12"/>
        <v>0</v>
      </c>
      <c r="L84" s="68">
        <f t="shared" si="12"/>
        <v>0</v>
      </c>
    </row>
    <row r="85" spans="3:12">
      <c r="C85" s="278" t="s">
        <v>185</v>
      </c>
      <c r="D85" s="375">
        <f>SUM(D79:D84)</f>
        <v>0</v>
      </c>
      <c r="E85" s="63"/>
      <c r="F85" s="365" t="s">
        <v>185</v>
      </c>
      <c r="G85" s="374">
        <f>SUM(I85:L85)</f>
        <v>0</v>
      </c>
      <c r="H85" s="374"/>
      <c r="I85" s="374">
        <f>SUM(I79:I84)</f>
        <v>0</v>
      </c>
      <c r="J85" s="374">
        <f t="shared" si="11"/>
        <v>0</v>
      </c>
      <c r="K85" s="374">
        <f>SUM(K80:K84)</f>
        <v>0</v>
      </c>
      <c r="L85" s="374">
        <f>SUM(L80:L84)</f>
        <v>0</v>
      </c>
    </row>
    <row r="86" spans="3:12">
      <c r="C86" s="84"/>
      <c r="D86" s="85"/>
      <c r="E86" s="63"/>
      <c r="F86" s="363"/>
      <c r="G86" s="364"/>
      <c r="H86" s="364"/>
      <c r="I86" s="364"/>
      <c r="J86" s="364"/>
      <c r="K86" s="364"/>
      <c r="L86" s="364"/>
    </row>
    <row r="87" spans="3:12">
      <c r="C87" s="165" t="s">
        <v>186</v>
      </c>
      <c r="D87" s="87">
        <f>D85-D76</f>
        <v>-873580.22124999994</v>
      </c>
      <c r="E87" s="63"/>
      <c r="F87" s="165" t="s">
        <v>186</v>
      </c>
      <c r="G87" s="87">
        <f>SUM(I87:L87)</f>
        <v>-2905118.9164437498</v>
      </c>
      <c r="H87" s="87"/>
      <c r="I87" s="87">
        <f>I85-I76</f>
        <v>-10350</v>
      </c>
      <c r="J87" s="87">
        <f>J85-J76</f>
        <v>-939954.77124999999</v>
      </c>
      <c r="K87" s="87">
        <f>K85-K76</f>
        <v>-965747.299</v>
      </c>
      <c r="L87" s="87">
        <f>L85-L76</f>
        <v>-989066.84619375004</v>
      </c>
    </row>
    <row r="89" spans="3:12">
      <c r="F89" s="10" t="s">
        <v>187</v>
      </c>
      <c r="G89" s="88">
        <f>'3. Basic Input &amp; Assumptions'!H17</f>
        <v>2.5000000000000001E-2</v>
      </c>
      <c r="H89" s="88"/>
      <c r="I89" s="88"/>
    </row>
  </sheetData>
  <sheetProtection selectLockedCells="1"/>
  <mergeCells count="17">
    <mergeCell ref="C5:G5"/>
    <mergeCell ref="E35:G35"/>
    <mergeCell ref="C41:D41"/>
    <mergeCell ref="E30:G30"/>
    <mergeCell ref="F40:L40"/>
    <mergeCell ref="C17:G18"/>
    <mergeCell ref="E31:G31"/>
    <mergeCell ref="E32:G32"/>
    <mergeCell ref="E33:G33"/>
    <mergeCell ref="E34:G34"/>
    <mergeCell ref="F20:J20"/>
    <mergeCell ref="F21:J21"/>
    <mergeCell ref="F23:J23"/>
    <mergeCell ref="E28:G28"/>
    <mergeCell ref="E29:G29"/>
    <mergeCell ref="F24:J24"/>
    <mergeCell ref="F25:J25"/>
  </mergeCells>
  <dataValidations count="1">
    <dataValidation type="whole" allowBlank="1" showInputMessage="1" showErrorMessage="1" sqref="D9:D13 F9:F13" xr:uid="{00000000-0002-0000-0500-000000000000}">
      <formula1>0</formula1>
      <formula2>100000</formula2>
    </dataValidation>
  </dataValidations>
  <pageMargins left="0.25" right="0.25"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1000000}">
          <x14:formula1>
            <xm:f>'3. Basic Input &amp; Assumptions'!$C$36:$C$41</xm:f>
          </x14:formula1>
          <xm:sqref>C9:C13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sheetPr>
  <dimension ref="B1:U90"/>
  <sheetViews>
    <sheetView showGridLines="0" zoomScale="90" zoomScaleNormal="90" workbookViewId="0">
      <selection activeCell="H5" sqref="H5"/>
    </sheetView>
  </sheetViews>
  <sheetFormatPr defaultColWidth="9.140625" defaultRowHeight="15.6"/>
  <cols>
    <col min="1" max="2" width="2.85546875" style="4" customWidth="1"/>
    <col min="3" max="3" width="37.5703125" style="4" customWidth="1"/>
    <col min="4" max="4" width="18" style="4" customWidth="1"/>
    <col min="5" max="5" width="38.85546875" style="4" customWidth="1"/>
    <col min="6" max="6" width="39.5703125" style="10" customWidth="1"/>
    <col min="7" max="9" width="25.42578125" style="8" customWidth="1"/>
    <col min="10" max="11" width="25.42578125" style="4" customWidth="1"/>
    <col min="12" max="12" width="25.140625" style="4" customWidth="1"/>
    <col min="13" max="13" width="9.140625" style="4" customWidth="1"/>
    <col min="14" max="14" width="24.42578125" style="4" customWidth="1"/>
    <col min="15" max="15" width="21.5703125" style="4" customWidth="1"/>
    <col min="16" max="16" width="17" style="4" customWidth="1"/>
    <col min="17" max="17" width="19.5703125" style="4" customWidth="1"/>
    <col min="18" max="16384" width="9.140625" style="4"/>
  </cols>
  <sheetData>
    <row r="1" spans="2:21" s="3" customFormat="1">
      <c r="B1" s="1"/>
      <c r="C1" s="2"/>
      <c r="D1" s="2"/>
    </row>
    <row r="2" spans="2:21" ht="36" customHeight="1">
      <c r="C2" s="5" t="s">
        <v>242</v>
      </c>
      <c r="D2" s="6"/>
      <c r="E2" s="6"/>
      <c r="F2" s="7"/>
    </row>
    <row r="3" spans="2:21">
      <c r="C3" s="5"/>
      <c r="D3" s="6"/>
      <c r="E3" s="6"/>
      <c r="F3" s="7"/>
    </row>
    <row r="4" spans="2:21" ht="15.95" thickBot="1">
      <c r="C4" s="9" t="s">
        <v>243</v>
      </c>
    </row>
    <row r="5" spans="2:21" ht="92.25" customHeight="1" thickBot="1">
      <c r="C5" s="490" t="s">
        <v>244</v>
      </c>
      <c r="D5" s="490"/>
      <c r="E5" s="490"/>
      <c r="F5" s="490"/>
      <c r="G5" s="490"/>
      <c r="H5" s="434" t="s">
        <v>245</v>
      </c>
      <c r="I5" s="252"/>
    </row>
    <row r="6" spans="2:21">
      <c r="C6" s="9" t="s">
        <v>246</v>
      </c>
      <c r="N6" s="11"/>
    </row>
    <row r="8" spans="2:21" ht="18.95" customHeight="1">
      <c r="C8" s="12" t="s">
        <v>193</v>
      </c>
      <c r="D8" s="12" t="s">
        <v>194</v>
      </c>
      <c r="E8" s="13" t="s">
        <v>247</v>
      </c>
      <c r="F8" s="14" t="s">
        <v>195</v>
      </c>
      <c r="G8" s="13" t="s">
        <v>247</v>
      </c>
      <c r="H8" s="13"/>
      <c r="I8" s="13"/>
      <c r="J8" s="15" t="s">
        <v>96</v>
      </c>
    </row>
    <row r="9" spans="2:21" ht="18.95" customHeight="1">
      <c r="B9" s="16">
        <v>1</v>
      </c>
      <c r="C9" s="17" t="s">
        <v>67</v>
      </c>
      <c r="D9" s="18">
        <v>35</v>
      </c>
      <c r="E9" s="19">
        <f>IF(C9="","",IF('3. Basic Input &amp; Assumptions'!D27&gt;0,VLOOKUP(C9,'3. Basic Input &amp; Assumptions'!$C$45:$F$47,4,FALSE),VLOOKUP(C9,'3. Basic Input &amp; Assumptions'!$C$45:$F$47,2,FALSE)))</f>
        <v>20</v>
      </c>
      <c r="F9" s="18">
        <v>0</v>
      </c>
      <c r="G9" s="19">
        <f>IF(C9="","",IF('3. Basic Input &amp; Assumptions'!E6&gt;0,VLOOKUP(C9,'3. Basic Input &amp; Assumptions'!$C$45:$F$47,4,FALSE),VLOOKUP(C9,'3. Basic Input &amp; Assumptions'!$C$45:$F$47,3,FALSE)))</f>
        <v>20</v>
      </c>
      <c r="H9" s="277"/>
      <c r="I9" s="277"/>
      <c r="J9" s="20">
        <f>IF(D9&gt;0,D9/E9,0)+IF(F9&gt;0,F9/G9,0)</f>
        <v>1.75</v>
      </c>
    </row>
    <row r="10" spans="2:21" ht="18.95" customHeight="1">
      <c r="B10" s="16">
        <v>2</v>
      </c>
      <c r="C10" s="17" t="s">
        <v>67</v>
      </c>
      <c r="D10" s="18">
        <v>0</v>
      </c>
      <c r="E10" s="19">
        <f>IF(C10="","",IF('3. Basic Input &amp; Assumptions'!E6&gt;0,VLOOKUP(C10,'3. Basic Input &amp; Assumptions'!$C$45:$F$47,4,FALSE),VLOOKUP(C10,'3. Basic Input &amp; Assumptions'!$C$45:$F$47,2,FALSE)))</f>
        <v>20</v>
      </c>
      <c r="F10" s="18">
        <v>50</v>
      </c>
      <c r="G10" s="19">
        <f>IF(C10="","",IF('3. Basic Input &amp; Assumptions'!E6&gt;0,VLOOKUP(C10,'3. Basic Input &amp; Assumptions'!$C$45:$F$47,4,FALSE),VLOOKUP(C10,'3. Basic Input &amp; Assumptions'!$C$45:$F$47,3,FALSE)))</f>
        <v>20</v>
      </c>
      <c r="H10" s="277"/>
      <c r="I10" s="277"/>
      <c r="J10" s="20">
        <f>IF(D10&gt;0,D10/E10,0)+IF(F10&gt;0,F10/G10,0)</f>
        <v>2.5</v>
      </c>
    </row>
    <row r="11" spans="2:21" ht="18.95" customHeight="1" thickBot="1">
      <c r="B11" s="16">
        <v>3</v>
      </c>
      <c r="C11" s="131" t="s">
        <v>72</v>
      </c>
      <c r="D11" s="92">
        <v>15</v>
      </c>
      <c r="E11" s="93">
        <f>IF(C11="","",IF('3. Basic Input &amp; Assumptions'!E6&gt;0,VLOOKUP(C11,'3. Basic Input &amp; Assumptions'!$C$45:$F$47,4,FALSE),VLOOKUP(C11,'3. Basic Input &amp; Assumptions'!$C$45:$F$47,2,FALSE)))</f>
        <v>15</v>
      </c>
      <c r="F11" s="92"/>
      <c r="G11" s="93">
        <f>IF(C11="","",IF('3. Basic Input &amp; Assumptions'!E6&gt;0,VLOOKUP(C11,'3. Basic Input &amp; Assumptions'!$C$45:$F$47,4,FALSE),VLOOKUP(C11,'3. Basic Input &amp; Assumptions'!$C$45:$F$47,3,FALSE)))</f>
        <v>15</v>
      </c>
      <c r="H11" s="277"/>
      <c r="I11" s="277"/>
      <c r="J11" s="20">
        <f>IF(D11&gt;0,D11/E11,0)+IF(F11&gt;0,F11/G11,0)</f>
        <v>1</v>
      </c>
    </row>
    <row r="12" spans="2:21" ht="15.95" thickBot="1">
      <c r="C12" s="27" t="s">
        <v>97</v>
      </c>
      <c r="D12" s="97">
        <f>SUM(D9:D11)</f>
        <v>50</v>
      </c>
      <c r="E12" s="132"/>
      <c r="F12" s="133">
        <f>SUM(F9:F11)</f>
        <v>50</v>
      </c>
      <c r="G12" s="31"/>
      <c r="H12" s="59"/>
      <c r="I12" s="59"/>
    </row>
    <row r="14" spans="2:21">
      <c r="N14" s="11"/>
      <c r="R14" s="9"/>
      <c r="S14" s="9"/>
      <c r="T14" s="9"/>
      <c r="U14" s="9"/>
    </row>
    <row r="15" spans="2:21">
      <c r="C15" s="9" t="s">
        <v>248</v>
      </c>
    </row>
    <row r="16" spans="2:21">
      <c r="N16" s="11"/>
    </row>
    <row r="17" spans="3:13">
      <c r="D17" s="32" t="s">
        <v>101</v>
      </c>
      <c r="E17" s="32" t="s">
        <v>102</v>
      </c>
      <c r="F17" s="32"/>
      <c r="K17" s="32"/>
    </row>
    <row r="18" spans="3:13">
      <c r="C18" s="33" t="s">
        <v>103</v>
      </c>
      <c r="D18" s="34">
        <v>0.5</v>
      </c>
      <c r="E18" s="35">
        <v>68000</v>
      </c>
      <c r="F18" s="497"/>
      <c r="G18" s="498"/>
      <c r="H18" s="498"/>
      <c r="I18" s="498"/>
      <c r="J18" s="498"/>
    </row>
    <row r="19" spans="3:13">
      <c r="C19" s="33" t="s">
        <v>105</v>
      </c>
      <c r="D19" s="34">
        <v>1</v>
      </c>
      <c r="E19" s="35">
        <v>32000</v>
      </c>
      <c r="F19" s="519"/>
      <c r="G19" s="495"/>
      <c r="H19" s="495"/>
      <c r="I19" s="495"/>
      <c r="J19" s="495"/>
    </row>
    <row r="20" spans="3:13">
      <c r="C20" s="33" t="s">
        <v>249</v>
      </c>
      <c r="D20" s="134">
        <f>ROUNDUP(D21/8,0)</f>
        <v>1</v>
      </c>
      <c r="E20" s="35">
        <v>55000</v>
      </c>
      <c r="L20" s="38"/>
      <c r="M20" s="38"/>
    </row>
    <row r="21" spans="3:13">
      <c r="C21" s="33" t="s">
        <v>250</v>
      </c>
      <c r="D21" s="134">
        <f>ROUNDUP(SUM(D12,F12)/20,0)</f>
        <v>5</v>
      </c>
      <c r="E21" s="35">
        <v>40000</v>
      </c>
    </row>
    <row r="22" spans="3:13">
      <c r="C22" s="33" t="s">
        <v>251</v>
      </c>
      <c r="D22" s="34"/>
      <c r="E22" s="35"/>
      <c r="F22" s="135"/>
      <c r="G22" s="136"/>
      <c r="H22" s="136"/>
      <c r="I22" s="136"/>
      <c r="J22" s="136"/>
    </row>
    <row r="23" spans="3:13">
      <c r="C23" s="11"/>
    </row>
    <row r="24" spans="3:13" ht="15.95" thickBot="1">
      <c r="C24" s="9" t="s">
        <v>252</v>
      </c>
    </row>
    <row r="25" spans="3:13" ht="15.6" customHeight="1">
      <c r="C25" s="214" t="s">
        <v>253</v>
      </c>
      <c r="D25" s="215"/>
      <c r="E25" s="215"/>
      <c r="F25" s="215"/>
      <c r="G25" s="216"/>
      <c r="H25" s="280"/>
      <c r="I25" s="280"/>
    </row>
    <row r="26" spans="3:13">
      <c r="C26" s="203" t="s">
        <v>117</v>
      </c>
      <c r="D26" s="51">
        <v>40</v>
      </c>
      <c r="E26" s="497" t="s">
        <v>118</v>
      </c>
      <c r="F26" s="498"/>
      <c r="G26" s="520"/>
      <c r="H26" s="264"/>
      <c r="I26" s="264"/>
    </row>
    <row r="27" spans="3:13">
      <c r="C27" s="204" t="s">
        <v>208</v>
      </c>
      <c r="D27" s="51">
        <v>4</v>
      </c>
      <c r="E27" s="497" t="s">
        <v>209</v>
      </c>
      <c r="F27" s="498"/>
      <c r="G27" s="520"/>
      <c r="H27" s="264"/>
      <c r="I27" s="264"/>
    </row>
    <row r="28" spans="3:13">
      <c r="C28" s="204" t="s">
        <v>121</v>
      </c>
      <c r="D28" s="53">
        <v>0.75</v>
      </c>
      <c r="E28" s="497" t="s">
        <v>122</v>
      </c>
      <c r="F28" s="498"/>
      <c r="G28" s="520"/>
      <c r="H28" s="264"/>
      <c r="I28" s="264"/>
    </row>
    <row r="29" spans="3:13">
      <c r="C29" s="203" t="s">
        <v>123</v>
      </c>
      <c r="D29" s="51">
        <v>10</v>
      </c>
      <c r="E29" s="497" t="s">
        <v>124</v>
      </c>
      <c r="F29" s="498"/>
      <c r="G29" s="499"/>
      <c r="H29" s="264"/>
      <c r="I29" s="264"/>
    </row>
    <row r="30" spans="3:13">
      <c r="C30" s="204" t="s">
        <v>125</v>
      </c>
      <c r="D30" s="51">
        <v>20</v>
      </c>
      <c r="E30" s="497" t="s">
        <v>126</v>
      </c>
      <c r="F30" s="498"/>
      <c r="G30" s="520"/>
      <c r="H30" s="264"/>
      <c r="I30" s="264"/>
    </row>
    <row r="31" spans="3:13">
      <c r="C31" s="204" t="s">
        <v>127</v>
      </c>
      <c r="D31" s="51">
        <v>3</v>
      </c>
      <c r="E31" s="497" t="s">
        <v>128</v>
      </c>
      <c r="F31" s="498"/>
      <c r="G31" s="520"/>
      <c r="H31" s="264"/>
      <c r="I31" s="264"/>
    </row>
    <row r="32" spans="3:13" ht="15.95" thickBot="1">
      <c r="C32" s="205" t="s">
        <v>129</v>
      </c>
      <c r="D32" s="55">
        <v>1</v>
      </c>
      <c r="E32" s="497" t="s">
        <v>254</v>
      </c>
      <c r="F32" s="498"/>
      <c r="G32" s="520"/>
      <c r="H32" s="264"/>
      <c r="I32" s="264"/>
    </row>
    <row r="33" spans="3:12">
      <c r="C33" s="206" t="s">
        <v>131</v>
      </c>
      <c r="D33" s="57">
        <f>IF(D29="","",(52-(SUM(D29:D32)/5))*$D$26*$D$27*$D$28)</f>
        <v>5424</v>
      </c>
      <c r="G33" s="207"/>
    </row>
    <row r="34" spans="3:12">
      <c r="C34" s="208" t="s">
        <v>132</v>
      </c>
      <c r="D34" s="58">
        <f>(52*5)-(SUM(D29:D32))</f>
        <v>226</v>
      </c>
      <c r="G34" s="207"/>
    </row>
    <row r="35" spans="3:12" ht="15.95" thickBot="1">
      <c r="C35" s="209"/>
      <c r="D35" s="210"/>
      <c r="E35" s="211"/>
      <c r="F35" s="212"/>
      <c r="G35" s="213"/>
    </row>
    <row r="36" spans="3:12">
      <c r="C36" s="10"/>
      <c r="D36" s="59"/>
    </row>
    <row r="37" spans="3:12">
      <c r="C37" s="9" t="s">
        <v>133</v>
      </c>
      <c r="F37" s="11"/>
    </row>
    <row r="38" spans="3:12">
      <c r="F38" s="491" t="s">
        <v>255</v>
      </c>
      <c r="G38" s="501"/>
      <c r="H38" s="501"/>
      <c r="I38" s="501"/>
      <c r="J38" s="501"/>
      <c r="K38" s="501"/>
      <c r="L38" s="492"/>
    </row>
    <row r="39" spans="3:12" ht="33.75" customHeight="1">
      <c r="C39" s="513" t="s">
        <v>256</v>
      </c>
      <c r="D39" s="514"/>
      <c r="E39" s="60"/>
      <c r="F39" s="253"/>
      <c r="G39" s="254" t="s">
        <v>136</v>
      </c>
      <c r="H39" s="254" t="s">
        <v>137</v>
      </c>
      <c r="I39" s="254" t="s">
        <v>138</v>
      </c>
      <c r="J39" s="254" t="s">
        <v>139</v>
      </c>
      <c r="K39" s="254" t="s">
        <v>140</v>
      </c>
      <c r="L39" s="254" t="s">
        <v>141</v>
      </c>
    </row>
    <row r="40" spans="3:12">
      <c r="C40" s="163" t="s">
        <v>142</v>
      </c>
      <c r="D40" s="62"/>
      <c r="E40" s="63"/>
      <c r="F40" s="158" t="s">
        <v>142</v>
      </c>
      <c r="G40" s="62"/>
      <c r="H40" s="62"/>
      <c r="I40" s="62"/>
      <c r="J40" s="62"/>
      <c r="K40" s="62"/>
      <c r="L40" s="62"/>
    </row>
    <row r="41" spans="3:12">
      <c r="C41" s="64" t="s">
        <v>143</v>
      </c>
      <c r="D41" s="65">
        <f>SUMPRODUCT(D18:D22,E18:E22)</f>
        <v>321000</v>
      </c>
      <c r="E41" s="66"/>
      <c r="F41" s="73" t="s">
        <v>143</v>
      </c>
      <c r="G41" s="65" t="e">
        <f>SUM(I41:L41)</f>
        <v>#REF!</v>
      </c>
      <c r="H41" s="267" t="e">
        <f>IF(OR('6. New Medicaid Provider Costs'!#REF!="Apply to CTI Tab 7",'6. New Medicaid Provider Costs'!#REF!="Apply to All"),SUM('6. New Medicaid Provider Costs'!$I$11:$I$13),0)</f>
        <v>#REF!</v>
      </c>
      <c r="I41" s="65"/>
      <c r="J41" s="65" t="e">
        <f>D41+H41</f>
        <v>#REF!</v>
      </c>
      <c r="K41" s="65" t="e">
        <f>J41*(1+$G$87)</f>
        <v>#REF!</v>
      </c>
      <c r="L41" s="65" t="e">
        <f>K41*(1+$G$87)</f>
        <v>#REF!</v>
      </c>
    </row>
    <row r="42" spans="3:12">
      <c r="C42" s="64" t="s">
        <v>144</v>
      </c>
      <c r="D42" s="65">
        <f>D41*'3. Basic Input &amp; Assumptions'!$H$19</f>
        <v>90714.6</v>
      </c>
      <c r="E42" s="66"/>
      <c r="F42" s="73" t="s">
        <v>144</v>
      </c>
      <c r="G42" s="65" t="e">
        <f t="shared" ref="G42:G45" si="0">SUM(I42:L42)</f>
        <v>#REF!</v>
      </c>
      <c r="H42" s="267" t="e">
        <f>IF(OR('6. New Medicaid Provider Costs'!#REF!="Apply to CTI Tab 7",'6. New Medicaid Provider Costs'!#REF!="Apply to All"),SUM('6. New Medicaid Provider Costs'!$I$11:$I$13)*'3. Basic Input &amp; Assumptions'!$H$19,0)</f>
        <v>#REF!</v>
      </c>
      <c r="I42" s="65"/>
      <c r="J42" s="65" t="e">
        <f>J41*'3. Basic Input &amp; Assumptions'!$H$19</f>
        <v>#REF!</v>
      </c>
      <c r="K42" s="65" t="e">
        <f>K41*'3. Basic Input &amp; Assumptions'!$H$19</f>
        <v>#REF!</v>
      </c>
      <c r="L42" s="65" t="e">
        <f>L41*'3. Basic Input &amp; Assumptions'!$H$19</f>
        <v>#REF!</v>
      </c>
    </row>
    <row r="43" spans="3:12">
      <c r="C43" s="64" t="s">
        <v>145</v>
      </c>
      <c r="D43" s="67"/>
      <c r="E43" s="66"/>
      <c r="F43" s="73" t="s">
        <v>145</v>
      </c>
      <c r="G43" s="67" t="e">
        <f t="shared" si="0"/>
        <v>#REF!</v>
      </c>
      <c r="H43" s="267" t="e">
        <f>IF(OR('6. New Medicaid Provider Costs'!#REF!="Apply to CTI Tab 7",'6. New Medicaid Provider Costs'!#REF!="Apply to All"),SUM('6. New Medicaid Provider Costs'!$I$15:$I$16),0)</f>
        <v>#REF!</v>
      </c>
      <c r="I43" s="65"/>
      <c r="J43" s="67" t="e">
        <f>D43+H43</f>
        <v>#REF!</v>
      </c>
      <c r="K43" s="67" t="e">
        <f t="shared" ref="K43:L45" si="1">J43*(1+$G$87)</f>
        <v>#REF!</v>
      </c>
      <c r="L43" s="67" t="e">
        <f t="shared" si="1"/>
        <v>#REF!</v>
      </c>
    </row>
    <row r="44" spans="3:12">
      <c r="C44" s="64" t="s">
        <v>146</v>
      </c>
      <c r="D44" s="67"/>
      <c r="E44" s="66"/>
      <c r="F44" s="73" t="s">
        <v>146</v>
      </c>
      <c r="G44" s="67" t="e">
        <f t="shared" si="0"/>
        <v>#REF!</v>
      </c>
      <c r="H44" s="267" t="e">
        <f>IF(OR('6. New Medicaid Provider Costs'!#REF!="Apply to CTI Tab 7",'6. New Medicaid Provider Costs'!#REF!="Apply to All"),'6. New Medicaid Provider Costs'!$I$18,0)</f>
        <v>#REF!</v>
      </c>
      <c r="I44" s="267">
        <f>SUM('5. General Start Up Cost'!$F$10:$F$15)</f>
        <v>4500</v>
      </c>
      <c r="J44" s="67" t="e">
        <f>D44+H44</f>
        <v>#REF!</v>
      </c>
      <c r="K44" s="67" t="e">
        <f t="shared" si="1"/>
        <v>#REF!</v>
      </c>
      <c r="L44" s="67" t="e">
        <f t="shared" si="1"/>
        <v>#REF!</v>
      </c>
    </row>
    <row r="45" spans="3:12">
      <c r="C45" s="367" t="s">
        <v>257</v>
      </c>
      <c r="D45" s="68">
        <f>D41*('3. Basic Input &amp; Assumptions'!H18)</f>
        <v>4815</v>
      </c>
      <c r="E45" s="201" t="s">
        <v>148</v>
      </c>
      <c r="F45" s="153" t="s">
        <v>257</v>
      </c>
      <c r="G45" s="68" t="e">
        <f t="shared" si="0"/>
        <v>#REF!</v>
      </c>
      <c r="H45" s="317" t="e">
        <f>IF(OR('6. New Medicaid Provider Costs'!#REF!="Apply to CTI Tab 7",'6. New Medicaid Provider Costs'!#REF!="Apply to All"),SUM('6. New Medicaid Provider Costs'!$I$20:$I$22),0)</f>
        <v>#REF!</v>
      </c>
      <c r="I45" s="268">
        <f>SUM('5. General Start Up Cost'!$F$17:$F$20)</f>
        <v>0</v>
      </c>
      <c r="J45" s="68" t="e">
        <f>D45+H45</f>
        <v>#REF!</v>
      </c>
      <c r="K45" s="68" t="e">
        <f t="shared" si="1"/>
        <v>#REF!</v>
      </c>
      <c r="L45" s="68" t="e">
        <f t="shared" si="1"/>
        <v>#REF!</v>
      </c>
    </row>
    <row r="46" spans="3:12">
      <c r="C46" s="69" t="s">
        <v>149</v>
      </c>
      <c r="D46" s="62">
        <f>SUM(D41:D45)</f>
        <v>416529.6</v>
      </c>
      <c r="E46" s="66"/>
      <c r="F46" s="70" t="s">
        <v>149</v>
      </c>
      <c r="G46" s="62" t="e">
        <f>SUM(I46:L46)</f>
        <v>#REF!</v>
      </c>
      <c r="H46" s="272" t="e">
        <f>SUM(H41:H45)</f>
        <v>#REF!</v>
      </c>
      <c r="I46" s="62">
        <f>SUM(I41:I45)</f>
        <v>4500</v>
      </c>
      <c r="J46" s="62" t="e">
        <f>SUM(J41:J45)</f>
        <v>#REF!</v>
      </c>
      <c r="K46" s="62" t="e">
        <f>SUM(K41:K45)</f>
        <v>#REF!</v>
      </c>
      <c r="L46" s="62" t="e">
        <f>SUM(L41:L45)</f>
        <v>#REF!</v>
      </c>
    </row>
    <row r="47" spans="3:12">
      <c r="C47" s="71"/>
      <c r="D47" s="65"/>
      <c r="E47" s="66"/>
      <c r="F47" s="72"/>
      <c r="G47" s="65"/>
      <c r="H47" s="65"/>
      <c r="I47" s="65"/>
      <c r="J47" s="65"/>
      <c r="K47" s="65"/>
      <c r="L47" s="65"/>
    </row>
    <row r="48" spans="3:12">
      <c r="C48" s="162" t="s">
        <v>150</v>
      </c>
      <c r="D48" s="65"/>
      <c r="E48" s="66"/>
      <c r="F48" s="159" t="s">
        <v>150</v>
      </c>
      <c r="G48" s="65"/>
      <c r="H48" s="65"/>
      <c r="I48" s="65"/>
      <c r="J48" s="65"/>
      <c r="K48" s="65"/>
      <c r="L48" s="65"/>
    </row>
    <row r="49" spans="3:12">
      <c r="C49" s="64" t="s">
        <v>151</v>
      </c>
      <c r="D49" s="67">
        <v>17500</v>
      </c>
      <c r="E49" s="66"/>
      <c r="F49" s="73" t="s">
        <v>151</v>
      </c>
      <c r="G49" s="67">
        <f>SUM(I49:L49)</f>
        <v>58323.4375</v>
      </c>
      <c r="H49" s="65"/>
      <c r="I49" s="267">
        <f>'5. General Start Up Cost'!$F$24</f>
        <v>4500</v>
      </c>
      <c r="J49" s="67">
        <f t="shared" ref="J49:J67" si="2">D49</f>
        <v>17500</v>
      </c>
      <c r="K49" s="67">
        <f t="shared" ref="K49:L55" si="3">J49*(1+$G$87)</f>
        <v>17937.5</v>
      </c>
      <c r="L49" s="67">
        <f t="shared" si="3"/>
        <v>18385.9375</v>
      </c>
    </row>
    <row r="50" spans="3:12">
      <c r="C50" s="64" t="s">
        <v>152</v>
      </c>
      <c r="D50" s="67">
        <v>9500</v>
      </c>
      <c r="E50" s="66"/>
      <c r="F50" s="73" t="s">
        <v>152</v>
      </c>
      <c r="G50" s="67">
        <f t="shared" ref="G50:G55" si="4">SUM(I50:L50)</f>
        <v>29218.4375</v>
      </c>
      <c r="H50" s="65"/>
      <c r="I50" s="267">
        <f>'5. General Start Up Cost'!$F$25</f>
        <v>0</v>
      </c>
      <c r="J50" s="67">
        <f t="shared" si="2"/>
        <v>9500</v>
      </c>
      <c r="K50" s="67">
        <f t="shared" si="3"/>
        <v>9737.5</v>
      </c>
      <c r="L50" s="67">
        <f t="shared" si="3"/>
        <v>9980.9375</v>
      </c>
    </row>
    <row r="51" spans="3:12">
      <c r="C51" s="64" t="s">
        <v>153</v>
      </c>
      <c r="D51" s="67">
        <v>12500</v>
      </c>
      <c r="E51" s="66"/>
      <c r="F51" s="73" t="s">
        <v>153</v>
      </c>
      <c r="G51" s="67">
        <f t="shared" si="4"/>
        <v>38445.3125</v>
      </c>
      <c r="H51" s="65"/>
      <c r="I51" s="267">
        <f>'5. General Start Up Cost'!$F$26</f>
        <v>0</v>
      </c>
      <c r="J51" s="67">
        <f t="shared" si="2"/>
        <v>12500</v>
      </c>
      <c r="K51" s="67">
        <f t="shared" si="3"/>
        <v>12812.499999999998</v>
      </c>
      <c r="L51" s="67">
        <f t="shared" si="3"/>
        <v>13132.812499999996</v>
      </c>
    </row>
    <row r="52" spans="3:12">
      <c r="C52" s="64" t="s">
        <v>154</v>
      </c>
      <c r="D52" s="67">
        <v>10000</v>
      </c>
      <c r="E52" s="66"/>
      <c r="F52" s="73" t="s">
        <v>154</v>
      </c>
      <c r="G52" s="67">
        <f t="shared" si="4"/>
        <v>30756.25</v>
      </c>
      <c r="H52" s="65"/>
      <c r="I52" s="65"/>
      <c r="J52" s="67">
        <f t="shared" si="2"/>
        <v>10000</v>
      </c>
      <c r="K52" s="67">
        <f t="shared" si="3"/>
        <v>10250</v>
      </c>
      <c r="L52" s="67">
        <f t="shared" si="3"/>
        <v>10506.249999999998</v>
      </c>
    </row>
    <row r="53" spans="3:12">
      <c r="C53" s="73" t="s">
        <v>155</v>
      </c>
      <c r="D53" s="67">
        <v>9600</v>
      </c>
      <c r="E53" s="66"/>
      <c r="F53" s="73" t="s">
        <v>155</v>
      </c>
      <c r="G53" s="67">
        <f t="shared" si="4"/>
        <v>29526</v>
      </c>
      <c r="H53" s="65"/>
      <c r="I53" s="267">
        <f>'5. General Start Up Cost'!$F$27</f>
        <v>0</v>
      </c>
      <c r="J53" s="67">
        <f t="shared" si="2"/>
        <v>9600</v>
      </c>
      <c r="K53" s="67">
        <f t="shared" si="3"/>
        <v>9840</v>
      </c>
      <c r="L53" s="67">
        <f t="shared" si="3"/>
        <v>10086</v>
      </c>
    </row>
    <row r="54" spans="3:12">
      <c r="C54" s="64" t="s">
        <v>156</v>
      </c>
      <c r="D54" s="67">
        <v>5000</v>
      </c>
      <c r="E54" s="66"/>
      <c r="F54" s="73" t="s">
        <v>156</v>
      </c>
      <c r="G54" s="67">
        <f t="shared" si="4"/>
        <v>15378.125</v>
      </c>
      <c r="H54" s="65"/>
      <c r="I54" s="267">
        <f>'5. General Start Up Cost'!$F$28</f>
        <v>0</v>
      </c>
      <c r="J54" s="67">
        <f t="shared" si="2"/>
        <v>5000</v>
      </c>
      <c r="K54" s="67">
        <f t="shared" si="3"/>
        <v>5125</v>
      </c>
      <c r="L54" s="67">
        <f t="shared" si="3"/>
        <v>5253.1249999999991</v>
      </c>
    </row>
    <row r="55" spans="3:12">
      <c r="C55" s="64" t="s">
        <v>212</v>
      </c>
      <c r="D55" s="67">
        <v>0</v>
      </c>
      <c r="E55" s="66"/>
      <c r="F55" s="73" t="s">
        <v>157</v>
      </c>
      <c r="G55" s="67" t="e">
        <f t="shared" si="4"/>
        <v>#REF!</v>
      </c>
      <c r="H55" s="267" t="e">
        <f>IF(OR('6. New Medicaid Provider Costs'!#REF!="Apply to CTI Tab 7",'6. New Medicaid Provider Costs'!#REF!="Apply to All"),'6. New Medicaid Provider Costs'!$I$28,0)</f>
        <v>#REF!</v>
      </c>
      <c r="I55" s="65"/>
      <c r="J55" s="67" t="e">
        <f>D55+H55</f>
        <v>#REF!</v>
      </c>
      <c r="K55" s="67" t="e">
        <f t="shared" si="3"/>
        <v>#REF!</v>
      </c>
      <c r="L55" s="67" t="e">
        <f t="shared" si="3"/>
        <v>#REF!</v>
      </c>
    </row>
    <row r="56" spans="3:12">
      <c r="C56" s="64" t="s">
        <v>158</v>
      </c>
      <c r="D56" s="65">
        <f>D57*D58*D34*D59</f>
        <v>12995</v>
      </c>
      <c r="E56" s="201" t="s">
        <v>148</v>
      </c>
      <c r="F56" s="64" t="s">
        <v>158</v>
      </c>
      <c r="G56" s="65">
        <f>SUM(I56:L56)</f>
        <v>41630</v>
      </c>
      <c r="H56" s="65"/>
      <c r="I56" s="65"/>
      <c r="J56" s="65">
        <f t="shared" si="2"/>
        <v>12995</v>
      </c>
      <c r="K56" s="65">
        <f>K57*K58*249*K59</f>
        <v>14317.5</v>
      </c>
      <c r="L56" s="65">
        <f>L57*L58*249*L59</f>
        <v>14317.5</v>
      </c>
    </row>
    <row r="57" spans="3:12">
      <c r="C57" s="154" t="s">
        <v>159</v>
      </c>
      <c r="D57" s="75">
        <f>'3. Basic Input &amp; Assumptions'!H16</f>
        <v>0.57499999999999996</v>
      </c>
      <c r="E57" s="201" t="s">
        <v>258</v>
      </c>
      <c r="F57" s="154" t="s">
        <v>159</v>
      </c>
      <c r="G57" s="75">
        <f>'3. Basic Input &amp; Assumptions'!$H$16</f>
        <v>0.57499999999999996</v>
      </c>
      <c r="H57" s="269"/>
      <c r="I57" s="269"/>
      <c r="J57" s="75">
        <f>'3. Basic Input &amp; Assumptions'!H16</f>
        <v>0.57499999999999996</v>
      </c>
      <c r="K57" s="75">
        <f>'3. Basic Input &amp; Assumptions'!H16</f>
        <v>0.57499999999999996</v>
      </c>
      <c r="L57" s="75">
        <f>'3. Basic Input &amp; Assumptions'!H16</f>
        <v>0.57499999999999996</v>
      </c>
    </row>
    <row r="58" spans="3:12" ht="21.75" customHeight="1">
      <c r="C58" s="155" t="s">
        <v>161</v>
      </c>
      <c r="D58" s="76">
        <v>20</v>
      </c>
      <c r="E58" s="77"/>
      <c r="F58" s="155" t="s">
        <v>161</v>
      </c>
      <c r="G58" s="76">
        <f>'3. Basic Input &amp; Assumptions'!$H$14</f>
        <v>20</v>
      </c>
      <c r="H58" s="270"/>
      <c r="I58" s="270"/>
      <c r="J58" s="76">
        <f t="shared" si="2"/>
        <v>20</v>
      </c>
      <c r="K58" s="76">
        <f>J58</f>
        <v>20</v>
      </c>
      <c r="L58" s="76">
        <f>K58</f>
        <v>20</v>
      </c>
    </row>
    <row r="59" spans="3:12" ht="29.1">
      <c r="C59" s="155" t="s">
        <v>162</v>
      </c>
      <c r="D59" s="76">
        <v>5</v>
      </c>
      <c r="E59" s="202" t="s">
        <v>241</v>
      </c>
      <c r="F59" s="155" t="s">
        <v>162</v>
      </c>
      <c r="G59" s="76">
        <f>AVERAGE(I59:L59)</f>
        <v>5</v>
      </c>
      <c r="H59" s="270"/>
      <c r="I59" s="270"/>
      <c r="J59" s="76">
        <f t="shared" si="2"/>
        <v>5</v>
      </c>
      <c r="K59" s="76">
        <f>J59</f>
        <v>5</v>
      </c>
      <c r="L59" s="76">
        <f>K59</f>
        <v>5</v>
      </c>
    </row>
    <row r="60" spans="3:12">
      <c r="C60" s="64" t="s">
        <v>163</v>
      </c>
      <c r="D60" s="67">
        <v>0</v>
      </c>
      <c r="E60" s="74"/>
      <c r="F60" s="73" t="s">
        <v>163</v>
      </c>
      <c r="G60" s="67">
        <f>SUM(I60:L60)</f>
        <v>0</v>
      </c>
      <c r="H60" s="65"/>
      <c r="I60" s="267">
        <f>'5. General Start Up Cost'!$F$29</f>
        <v>0</v>
      </c>
      <c r="J60" s="67">
        <f t="shared" si="2"/>
        <v>0</v>
      </c>
      <c r="K60" s="67">
        <f t="shared" ref="K60:L69" si="5">J60*(1+$G$87)</f>
        <v>0</v>
      </c>
      <c r="L60" s="67">
        <f t="shared" si="5"/>
        <v>0</v>
      </c>
    </row>
    <row r="61" spans="3:12">
      <c r="C61" s="64" t="s">
        <v>164</v>
      </c>
      <c r="D61" s="67">
        <v>0</v>
      </c>
      <c r="E61" s="66"/>
      <c r="F61" s="73" t="s">
        <v>164</v>
      </c>
      <c r="G61" s="67">
        <f t="shared" ref="G61:G69" si="6">SUM(I61:L61)</f>
        <v>0</v>
      </c>
      <c r="H61" s="65"/>
      <c r="I61" s="267">
        <f>'5. General Start Up Cost'!$F$30</f>
        <v>0</v>
      </c>
      <c r="J61" s="67">
        <f t="shared" si="2"/>
        <v>0</v>
      </c>
      <c r="K61" s="67">
        <f t="shared" si="5"/>
        <v>0</v>
      </c>
      <c r="L61" s="67">
        <f t="shared" si="5"/>
        <v>0</v>
      </c>
    </row>
    <row r="62" spans="3:12">
      <c r="C62" s="64" t="s">
        <v>165</v>
      </c>
      <c r="D62" s="67">
        <v>0</v>
      </c>
      <c r="E62" s="66"/>
      <c r="F62" s="73" t="s">
        <v>165</v>
      </c>
      <c r="G62" s="67">
        <f t="shared" si="6"/>
        <v>0</v>
      </c>
      <c r="H62" s="65"/>
      <c r="I62" s="65"/>
      <c r="J62" s="67">
        <f t="shared" si="2"/>
        <v>0</v>
      </c>
      <c r="K62" s="67">
        <f t="shared" si="5"/>
        <v>0</v>
      </c>
      <c r="L62" s="67">
        <f t="shared" si="5"/>
        <v>0</v>
      </c>
    </row>
    <row r="63" spans="3:12">
      <c r="C63" s="64" t="s">
        <v>166</v>
      </c>
      <c r="D63" s="67">
        <v>0</v>
      </c>
      <c r="E63" s="66"/>
      <c r="F63" s="73" t="s">
        <v>166</v>
      </c>
      <c r="G63" s="67">
        <f t="shared" si="6"/>
        <v>0</v>
      </c>
      <c r="H63" s="65"/>
      <c r="I63" s="65"/>
      <c r="J63" s="67">
        <f t="shared" si="2"/>
        <v>0</v>
      </c>
      <c r="K63" s="67">
        <f t="shared" si="5"/>
        <v>0</v>
      </c>
      <c r="L63" s="67">
        <f t="shared" si="5"/>
        <v>0</v>
      </c>
    </row>
    <row r="64" spans="3:12">
      <c r="C64" s="64" t="s">
        <v>167</v>
      </c>
      <c r="D64" s="67">
        <v>0</v>
      </c>
      <c r="E64" s="66"/>
      <c r="F64" s="73" t="s">
        <v>167</v>
      </c>
      <c r="G64" s="67">
        <f t="shared" si="6"/>
        <v>0</v>
      </c>
      <c r="H64" s="65"/>
      <c r="I64" s="267">
        <f>'5. General Start Up Cost'!$F$31</f>
        <v>0</v>
      </c>
      <c r="J64" s="67">
        <f t="shared" si="2"/>
        <v>0</v>
      </c>
      <c r="K64" s="67">
        <f t="shared" si="5"/>
        <v>0</v>
      </c>
      <c r="L64" s="67">
        <f t="shared" si="5"/>
        <v>0</v>
      </c>
    </row>
    <row r="65" spans="3:12" ht="46.5">
      <c r="C65" s="73" t="s">
        <v>168</v>
      </c>
      <c r="D65" s="67">
        <v>0</v>
      </c>
      <c r="E65" s="66"/>
      <c r="F65" s="73" t="s">
        <v>168</v>
      </c>
      <c r="G65" s="67" t="e">
        <f t="shared" si="6"/>
        <v>#REF!</v>
      </c>
      <c r="H65" s="267" t="e">
        <f>IF(OR('6. New Medicaid Provider Costs'!#REF!="Apply to CTI Tab 7",'6. New Medicaid Provider Costs'!#REF!="Apply to All"),SUM('6. New Medicaid Provider Costs'!$I$29:$I$40),0)</f>
        <v>#REF!</v>
      </c>
      <c r="I65" s="267">
        <f>SUM('5. General Start Up Cost'!$F$33:$F$42)</f>
        <v>0</v>
      </c>
      <c r="J65" s="67" t="e">
        <f>D65+H65</f>
        <v>#REF!</v>
      </c>
      <c r="K65" s="67" t="e">
        <f t="shared" si="5"/>
        <v>#REF!</v>
      </c>
      <c r="L65" s="67" t="e">
        <f t="shared" si="5"/>
        <v>#REF!</v>
      </c>
    </row>
    <row r="66" spans="3:12">
      <c r="C66" s="64" t="s">
        <v>170</v>
      </c>
      <c r="D66" s="67">
        <v>0</v>
      </c>
      <c r="E66" s="66"/>
      <c r="F66" s="73" t="s">
        <v>170</v>
      </c>
      <c r="G66" s="67">
        <f t="shared" si="6"/>
        <v>0</v>
      </c>
      <c r="H66" s="65"/>
      <c r="I66" s="65"/>
      <c r="J66" s="67">
        <f t="shared" si="2"/>
        <v>0</v>
      </c>
      <c r="K66" s="67">
        <f t="shared" si="5"/>
        <v>0</v>
      </c>
      <c r="L66" s="67">
        <f t="shared" si="5"/>
        <v>0</v>
      </c>
    </row>
    <row r="67" spans="3:12">
      <c r="C67" s="64" t="s">
        <v>171</v>
      </c>
      <c r="D67" s="67">
        <v>0</v>
      </c>
      <c r="E67" s="66"/>
      <c r="F67" s="73" t="s">
        <v>171</v>
      </c>
      <c r="G67" s="67">
        <f t="shared" si="6"/>
        <v>0</v>
      </c>
      <c r="H67" s="65"/>
      <c r="I67" s="65"/>
      <c r="J67" s="67">
        <f t="shared" si="2"/>
        <v>0</v>
      </c>
      <c r="K67" s="67">
        <f t="shared" si="5"/>
        <v>0</v>
      </c>
      <c r="L67" s="67">
        <f t="shared" si="5"/>
        <v>0</v>
      </c>
    </row>
    <row r="68" spans="3:12" ht="30.95">
      <c r="C68" s="73" t="s">
        <v>172</v>
      </c>
      <c r="D68" s="67">
        <v>0</v>
      </c>
      <c r="E68" s="66"/>
      <c r="F68" s="73" t="s">
        <v>172</v>
      </c>
      <c r="G68" s="67" t="e">
        <f t="shared" si="6"/>
        <v>#REF!</v>
      </c>
      <c r="H68" s="267" t="e">
        <f>IF(OR('6. New Medicaid Provider Costs'!#REF!="Apply to CTI Tab 7",'6. New Medicaid Provider Costs'!#REF!="Apply to All"),SUM('6. New Medicaid Provider Costs'!$I$41:$I$42),0)</f>
        <v>#REF!</v>
      </c>
      <c r="I68" s="267">
        <f>SUM('5. General Start Up Cost'!$F$46:$F$50)</f>
        <v>0</v>
      </c>
      <c r="J68" s="67" t="e">
        <f>D68+H68</f>
        <v>#REF!</v>
      </c>
      <c r="K68" s="67" t="e">
        <f t="shared" si="5"/>
        <v>#REF!</v>
      </c>
      <c r="L68" s="67" t="e">
        <f t="shared" si="5"/>
        <v>#REF!</v>
      </c>
    </row>
    <row r="69" spans="3:12">
      <c r="C69" s="78" t="s">
        <v>173</v>
      </c>
      <c r="D69" s="68">
        <v>0</v>
      </c>
      <c r="E69" s="66"/>
      <c r="F69" s="78" t="s">
        <v>173</v>
      </c>
      <c r="G69" s="68">
        <f t="shared" si="6"/>
        <v>0</v>
      </c>
      <c r="H69" s="361"/>
      <c r="I69" s="81"/>
      <c r="J69" s="68">
        <f>D69</f>
        <v>0</v>
      </c>
      <c r="K69" s="68">
        <f t="shared" si="5"/>
        <v>0</v>
      </c>
      <c r="L69" s="68">
        <f t="shared" si="5"/>
        <v>0</v>
      </c>
    </row>
    <row r="70" spans="3:12">
      <c r="C70" s="79" t="s">
        <v>174</v>
      </c>
      <c r="D70" s="62">
        <f>SUM(D49:D69)</f>
        <v>77120.574999999997</v>
      </c>
      <c r="E70" s="66"/>
      <c r="F70" s="80" t="s">
        <v>174</v>
      </c>
      <c r="G70" s="62" t="e">
        <f>SUM(I70:L70)</f>
        <v>#REF!</v>
      </c>
      <c r="H70" s="62" t="e">
        <f>SUM(H49:H69)</f>
        <v>#REF!</v>
      </c>
      <c r="I70" s="62">
        <f>SUM(I49:I69)</f>
        <v>4500</v>
      </c>
      <c r="J70" s="62" t="e">
        <f>SUM(J49:J69)</f>
        <v>#REF!</v>
      </c>
      <c r="K70" s="62" t="e">
        <f>SUM(K49:K69)</f>
        <v>#REF!</v>
      </c>
      <c r="L70" s="62" t="e">
        <f>SUM(L49:L69)</f>
        <v>#REF!</v>
      </c>
    </row>
    <row r="71" spans="3:12">
      <c r="C71" s="71"/>
      <c r="D71" s="65"/>
      <c r="E71" s="66"/>
      <c r="F71" s="72"/>
      <c r="G71" s="65"/>
      <c r="H71" s="65"/>
      <c r="I71" s="65"/>
      <c r="J71" s="65"/>
      <c r="K71" s="65"/>
      <c r="L71" s="65"/>
    </row>
    <row r="72" spans="3:12">
      <c r="C72" s="162" t="s">
        <v>175</v>
      </c>
      <c r="D72" s="65">
        <f>D46+D70</f>
        <v>493650.17499999999</v>
      </c>
      <c r="E72" s="66"/>
      <c r="F72" s="159" t="s">
        <v>175</v>
      </c>
      <c r="G72" s="65" t="e">
        <f>SUM(I72:L72)</f>
        <v>#REF!</v>
      </c>
      <c r="H72" s="267" t="e">
        <f>SUM(H46,H70)</f>
        <v>#REF!</v>
      </c>
      <c r="I72" s="267">
        <f>SUM(I46,I70)</f>
        <v>9000</v>
      </c>
      <c r="J72" s="65" t="e">
        <f>J46+J70</f>
        <v>#REF!</v>
      </c>
      <c r="K72" s="65" t="e">
        <f>K46+K70</f>
        <v>#REF!</v>
      </c>
      <c r="L72" s="65" t="e">
        <f>L46+L70</f>
        <v>#REF!</v>
      </c>
    </row>
    <row r="73" spans="3:12">
      <c r="C73" s="164" t="s">
        <v>176</v>
      </c>
      <c r="D73" s="81">
        <f>D72*('3. Basic Input &amp; Assumptions'!H13)</f>
        <v>74047.526249999995</v>
      </c>
      <c r="E73" s="66"/>
      <c r="F73" s="160" t="s">
        <v>176</v>
      </c>
      <c r="G73" s="81" t="e">
        <f>SUM(I73:L73)</f>
        <v>#REF!</v>
      </c>
      <c r="H73" s="268" t="e">
        <f>H72*'3. Basic Input &amp; Assumptions'!$H$13</f>
        <v>#REF!</v>
      </c>
      <c r="I73" s="268">
        <f>I72*'3. Basic Input &amp; Assumptions'!$H$13</f>
        <v>1350</v>
      </c>
      <c r="J73" s="81" t="e">
        <f>J72*('3. Basic Input &amp; Assumptions'!$H$13)</f>
        <v>#REF!</v>
      </c>
      <c r="K73" s="81" t="e">
        <f>K72*('3. Basic Input &amp; Assumptions'!$H$13)</f>
        <v>#REF!</v>
      </c>
      <c r="L73" s="81" t="e">
        <f>L72*('3. Basic Input &amp; Assumptions'!H13)</f>
        <v>#REF!</v>
      </c>
    </row>
    <row r="74" spans="3:12">
      <c r="C74" s="163" t="s">
        <v>177</v>
      </c>
      <c r="D74" s="62">
        <f>D72+D73</f>
        <v>567697.70124999993</v>
      </c>
      <c r="E74" s="66"/>
      <c r="F74" s="163" t="s">
        <v>177</v>
      </c>
      <c r="G74" s="62" t="e">
        <f>SUM(I74:L74)</f>
        <v>#REF!</v>
      </c>
      <c r="H74" s="271" t="e">
        <f>SUM(H72:H73)</f>
        <v>#REF!</v>
      </c>
      <c r="I74" s="271">
        <f>SUM(I72:I73)</f>
        <v>10350</v>
      </c>
      <c r="J74" s="152" t="e">
        <f>J72+J73</f>
        <v>#REF!</v>
      </c>
      <c r="K74" s="152" t="e">
        <f>K72+K73</f>
        <v>#REF!</v>
      </c>
      <c r="L74" s="152" t="e">
        <f>L72+L73</f>
        <v>#REF!</v>
      </c>
    </row>
    <row r="75" spans="3:12">
      <c r="C75" s="163"/>
      <c r="D75" s="62"/>
      <c r="E75" s="66"/>
      <c r="F75" s="158"/>
      <c r="G75" s="65"/>
      <c r="H75" s="65"/>
      <c r="I75" s="65"/>
      <c r="J75" s="62"/>
      <c r="K75" s="62"/>
      <c r="L75" s="62"/>
    </row>
    <row r="76" spans="3:12">
      <c r="C76" s="162" t="s">
        <v>178</v>
      </c>
      <c r="D76" s="65"/>
      <c r="E76" s="63"/>
      <c r="F76" s="162" t="s">
        <v>178</v>
      </c>
      <c r="G76" s="65"/>
      <c r="H76" s="65"/>
      <c r="I76" s="65"/>
      <c r="J76" s="65"/>
      <c r="K76" s="65"/>
      <c r="L76" s="65"/>
    </row>
    <row r="77" spans="3:12">
      <c r="C77" s="279" t="s">
        <v>179</v>
      </c>
      <c r="D77" s="67">
        <v>0</v>
      </c>
      <c r="E77" s="63"/>
      <c r="F77" s="279" t="s">
        <v>179</v>
      </c>
      <c r="G77" s="67">
        <f>SUM(I77:L77)</f>
        <v>0</v>
      </c>
      <c r="H77" s="67"/>
      <c r="I77" s="267">
        <v>0</v>
      </c>
      <c r="J77" s="67">
        <f t="shared" ref="J77" si="7">D77</f>
        <v>0</v>
      </c>
      <c r="K77" s="67">
        <f t="shared" ref="K77:L77" si="8">J77</f>
        <v>0</v>
      </c>
      <c r="L77" s="67">
        <f t="shared" si="8"/>
        <v>0</v>
      </c>
    </row>
    <row r="78" spans="3:12">
      <c r="C78" s="64" t="s">
        <v>180</v>
      </c>
      <c r="D78" s="67">
        <v>0</v>
      </c>
      <c r="E78" s="63"/>
      <c r="F78" s="73" t="s">
        <v>180</v>
      </c>
      <c r="G78" s="67">
        <f t="shared" ref="G78:G82" si="9">SUM(I78:L78)</f>
        <v>0</v>
      </c>
      <c r="H78" s="67"/>
      <c r="I78" s="267">
        <v>0</v>
      </c>
      <c r="J78" s="67">
        <f t="shared" ref="J78:J83" si="10">D78</f>
        <v>0</v>
      </c>
      <c r="K78" s="67">
        <f t="shared" ref="K78:L82" si="11">J78</f>
        <v>0</v>
      </c>
      <c r="L78" s="67">
        <f t="shared" si="11"/>
        <v>0</v>
      </c>
    </row>
    <row r="79" spans="3:12">
      <c r="C79" s="64" t="s">
        <v>181</v>
      </c>
      <c r="D79" s="67">
        <v>0</v>
      </c>
      <c r="E79" s="63"/>
      <c r="F79" s="73" t="s">
        <v>181</v>
      </c>
      <c r="G79" s="67">
        <f t="shared" si="9"/>
        <v>0</v>
      </c>
      <c r="H79" s="67"/>
      <c r="I79" s="267">
        <v>0</v>
      </c>
      <c r="J79" s="67">
        <f t="shared" si="10"/>
        <v>0</v>
      </c>
      <c r="K79" s="67">
        <f t="shared" si="11"/>
        <v>0</v>
      </c>
      <c r="L79" s="67">
        <f t="shared" si="11"/>
        <v>0</v>
      </c>
    </row>
    <row r="80" spans="3:12">
      <c r="C80" s="64" t="s">
        <v>182</v>
      </c>
      <c r="D80" s="67">
        <v>0</v>
      </c>
      <c r="E80" s="63"/>
      <c r="F80" s="73" t="s">
        <v>182</v>
      </c>
      <c r="G80" s="67">
        <f t="shared" si="9"/>
        <v>0</v>
      </c>
      <c r="H80" s="67"/>
      <c r="I80" s="267">
        <v>0</v>
      </c>
      <c r="J80" s="67">
        <f t="shared" si="10"/>
        <v>0</v>
      </c>
      <c r="K80" s="67">
        <f t="shared" si="11"/>
        <v>0</v>
      </c>
      <c r="L80" s="67">
        <f t="shared" si="11"/>
        <v>0</v>
      </c>
    </row>
    <row r="81" spans="3:12">
      <c r="C81" s="64" t="s">
        <v>183</v>
      </c>
      <c r="D81" s="67">
        <v>0</v>
      </c>
      <c r="E81" s="63"/>
      <c r="F81" s="73" t="s">
        <v>183</v>
      </c>
      <c r="G81" s="67">
        <f t="shared" si="9"/>
        <v>0</v>
      </c>
      <c r="H81" s="67"/>
      <c r="I81" s="267">
        <v>0</v>
      </c>
      <c r="J81" s="67">
        <f t="shared" si="10"/>
        <v>0</v>
      </c>
      <c r="K81" s="67">
        <f t="shared" si="11"/>
        <v>0</v>
      </c>
      <c r="L81" s="67">
        <f t="shared" si="11"/>
        <v>0</v>
      </c>
    </row>
    <row r="82" spans="3:12">
      <c r="C82" s="83" t="s">
        <v>184</v>
      </c>
      <c r="D82" s="68">
        <v>0</v>
      </c>
      <c r="E82" s="63"/>
      <c r="F82" s="78" t="s">
        <v>184</v>
      </c>
      <c r="G82" s="67">
        <f t="shared" si="9"/>
        <v>0</v>
      </c>
      <c r="H82" s="316"/>
      <c r="I82" s="268">
        <v>0</v>
      </c>
      <c r="J82" s="68">
        <f t="shared" si="10"/>
        <v>0</v>
      </c>
      <c r="K82" s="68">
        <f t="shared" si="11"/>
        <v>0</v>
      </c>
      <c r="L82" s="68">
        <f t="shared" si="11"/>
        <v>0</v>
      </c>
    </row>
    <row r="83" spans="3:12">
      <c r="C83" s="278" t="s">
        <v>185</v>
      </c>
      <c r="D83" s="62">
        <f>SUM(D77:D82)</f>
        <v>0</v>
      </c>
      <c r="E83" s="63"/>
      <c r="F83" s="278" t="s">
        <v>185</v>
      </c>
      <c r="G83" s="81">
        <f>SUM(I83:L83)</f>
        <v>0</v>
      </c>
      <c r="H83" s="360"/>
      <c r="I83" s="271">
        <f>SUM(I77:I82)</f>
        <v>0</v>
      </c>
      <c r="J83" s="62">
        <f t="shared" si="10"/>
        <v>0</v>
      </c>
      <c r="K83" s="62">
        <f>SUM(K78:K82)</f>
        <v>0</v>
      </c>
      <c r="L83" s="62">
        <f>SUM(L78:L82)</f>
        <v>0</v>
      </c>
    </row>
    <row r="84" spans="3:12">
      <c r="C84" s="84"/>
      <c r="D84" s="85"/>
      <c r="E84" s="63"/>
      <c r="F84" s="86"/>
      <c r="G84" s="85"/>
      <c r="H84" s="85"/>
      <c r="I84" s="85"/>
      <c r="J84" s="85"/>
      <c r="K84" s="85"/>
      <c r="L84" s="85"/>
    </row>
    <row r="85" spans="3:12">
      <c r="C85" s="165" t="s">
        <v>186</v>
      </c>
      <c r="D85" s="87">
        <f>D83-D74</f>
        <v>-567697.70124999993</v>
      </c>
      <c r="E85" s="63"/>
      <c r="F85" s="161" t="s">
        <v>259</v>
      </c>
      <c r="G85" s="87" t="e">
        <f>SUM(I85:L85)</f>
        <v>#REF!</v>
      </c>
      <c r="H85" s="87"/>
      <c r="I85" s="87">
        <f>I83-I74</f>
        <v>-10350</v>
      </c>
      <c r="J85" s="87" t="e">
        <f>J83-J74</f>
        <v>#REF!</v>
      </c>
      <c r="K85" s="87" t="e">
        <f>K83-K74</f>
        <v>#REF!</v>
      </c>
      <c r="L85" s="87" t="e">
        <f>L83-L74</f>
        <v>#REF!</v>
      </c>
    </row>
    <row r="87" spans="3:12">
      <c r="C87" s="518" t="s">
        <v>260</v>
      </c>
      <c r="D87" s="518"/>
      <c r="F87" s="10" t="s">
        <v>187</v>
      </c>
      <c r="G87" s="88">
        <f>'3. Basic Input &amp; Assumptions'!H17</f>
        <v>2.5000000000000001E-2</v>
      </c>
      <c r="H87" s="88"/>
      <c r="I87" s="88"/>
    </row>
    <row r="88" spans="3:12">
      <c r="C88" s="518"/>
      <c r="D88" s="518"/>
    </row>
    <row r="89" spans="3:12">
      <c r="C89" s="518"/>
      <c r="D89" s="518"/>
    </row>
    <row r="90" spans="3:12">
      <c r="C90" s="518"/>
      <c r="D90" s="518"/>
    </row>
  </sheetData>
  <sheetProtection selectLockedCells="1"/>
  <mergeCells count="13">
    <mergeCell ref="C5:G5"/>
    <mergeCell ref="C87:D90"/>
    <mergeCell ref="F18:J18"/>
    <mergeCell ref="F19:J19"/>
    <mergeCell ref="C39:D39"/>
    <mergeCell ref="E29:G29"/>
    <mergeCell ref="E30:G30"/>
    <mergeCell ref="E31:G31"/>
    <mergeCell ref="E32:G32"/>
    <mergeCell ref="E26:G26"/>
    <mergeCell ref="E27:G27"/>
    <mergeCell ref="E28:G28"/>
    <mergeCell ref="F38:L38"/>
  </mergeCells>
  <dataValidations count="1">
    <dataValidation type="whole" allowBlank="1" showInputMessage="1" showErrorMessage="1" sqref="D9:D11 F9:F11" xr:uid="{00000000-0002-0000-0600-000000000000}">
      <formula1>0</formula1>
      <formula2>100000</formula2>
    </dataValidation>
  </dataValidations>
  <hyperlinks>
    <hyperlink ref="H5" r:id="rId1" xr:uid="{00000000-0004-0000-0600-000000000000}"/>
  </hyperlinks>
  <pageMargins left="0.7" right="0.7" top="0.75" bottom="0.75" header="0.3" footer="0.3"/>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1000000}">
          <x14:formula1>
            <xm:f>'3. Basic Input &amp; Assumptions'!$C$45:$C$47</xm:f>
          </x14:formula1>
          <xm:sqref>C9:C11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B1:G52"/>
  <sheetViews>
    <sheetView zoomScaleNormal="100" workbookViewId="0">
      <selection activeCell="D1" sqref="D1"/>
    </sheetView>
  </sheetViews>
  <sheetFormatPr defaultColWidth="9.140625" defaultRowHeight="14.45"/>
  <cols>
    <col min="1" max="1" width="4" style="293" customWidth="1"/>
    <col min="2" max="2" width="31.85546875" style="293" customWidth="1"/>
    <col min="3" max="4" width="15.5703125" style="293" customWidth="1"/>
    <col min="5" max="5" width="11.5703125" style="293" customWidth="1"/>
    <col min="6" max="6" width="15.5703125" style="293" customWidth="1"/>
    <col min="7" max="7" width="45.42578125" style="294" customWidth="1"/>
    <col min="8" max="8" width="9.140625" style="293"/>
    <col min="9" max="9" width="9.140625" style="293" customWidth="1"/>
    <col min="10" max="16384" width="9.140625" style="293"/>
  </cols>
  <sheetData>
    <row r="1" spans="2:7" s="3" customFormat="1" ht="15.6">
      <c r="B1" s="1"/>
      <c r="C1" s="2"/>
      <c r="D1" s="2"/>
    </row>
    <row r="2" spans="2:7" ht="15.6">
      <c r="B2" s="521" t="s">
        <v>261</v>
      </c>
      <c r="C2" s="521"/>
      <c r="D2" s="521"/>
      <c r="E2" s="521"/>
      <c r="F2" s="521"/>
      <c r="G2" s="521"/>
    </row>
    <row r="3" spans="2:7" ht="30" customHeight="1">
      <c r="B3" s="523"/>
      <c r="C3" s="523"/>
      <c r="D3" s="523"/>
      <c r="E3" s="523"/>
      <c r="F3" s="523"/>
      <c r="G3" s="523"/>
    </row>
    <row r="4" spans="2:7" ht="15" customHeight="1">
      <c r="B4" s="522" t="s">
        <v>262</v>
      </c>
      <c r="C4" s="522"/>
      <c r="D4" s="522"/>
      <c r="E4" s="522"/>
      <c r="F4" s="522"/>
      <c r="G4" s="522"/>
    </row>
    <row r="5" spans="2:7" ht="63" customHeight="1">
      <c r="B5" s="522"/>
      <c r="C5" s="522"/>
      <c r="D5" s="522"/>
      <c r="E5" s="522"/>
      <c r="F5" s="522"/>
      <c r="G5" s="522"/>
    </row>
    <row r="6" spans="2:7" ht="15" customHeight="1">
      <c r="B6" s="522"/>
      <c r="C6" s="522"/>
      <c r="D6" s="522"/>
      <c r="E6" s="522"/>
      <c r="F6" s="522"/>
      <c r="G6" s="522"/>
    </row>
    <row r="7" spans="2:7" ht="15" customHeight="1">
      <c r="B7" s="253"/>
      <c r="C7" s="258" t="s">
        <v>263</v>
      </c>
      <c r="D7" s="254" t="s">
        <v>264</v>
      </c>
      <c r="E7" s="254" t="s">
        <v>265</v>
      </c>
      <c r="F7" s="254" t="s">
        <v>266</v>
      </c>
      <c r="G7" s="255" t="s">
        <v>267</v>
      </c>
    </row>
    <row r="8" spans="2:7" ht="15" customHeight="1">
      <c r="B8" s="158" t="s">
        <v>142</v>
      </c>
      <c r="C8" s="259"/>
      <c r="D8" s="62"/>
      <c r="E8" s="62"/>
      <c r="F8" s="62"/>
      <c r="G8" s="256"/>
    </row>
    <row r="9" spans="2:7" ht="15" customHeight="1">
      <c r="B9" s="158" t="s">
        <v>146</v>
      </c>
      <c r="C9" s="259"/>
      <c r="D9" s="62"/>
      <c r="E9" s="62"/>
      <c r="F9" s="62"/>
      <c r="G9" s="256"/>
    </row>
    <row r="10" spans="2:7" ht="15.6">
      <c r="B10" s="73" t="s">
        <v>268</v>
      </c>
      <c r="C10" s="260"/>
      <c r="D10" s="67">
        <v>500</v>
      </c>
      <c r="E10" s="76">
        <v>1</v>
      </c>
      <c r="F10" s="267">
        <f>IF('3. Basic Input &amp; Assumptions'!$D$7="No",0,D10*E10)</f>
        <v>500</v>
      </c>
      <c r="G10" s="257" t="s">
        <v>269</v>
      </c>
    </row>
    <row r="11" spans="2:7" ht="26.45">
      <c r="B11" s="73" t="s">
        <v>270</v>
      </c>
      <c r="C11" s="260" t="s">
        <v>271</v>
      </c>
      <c r="D11" s="67">
        <v>2000</v>
      </c>
      <c r="E11" s="76">
        <v>2</v>
      </c>
      <c r="F11" s="267">
        <f>IF('3. Basic Input &amp; Assumptions'!$D$7="No",0,D11*E11)</f>
        <v>4000</v>
      </c>
      <c r="G11" s="257" t="s">
        <v>272</v>
      </c>
    </row>
    <row r="12" spans="2:7" ht="15" customHeight="1">
      <c r="B12" s="73" t="s">
        <v>273</v>
      </c>
      <c r="C12" s="260" t="s">
        <v>271</v>
      </c>
      <c r="D12" s="67"/>
      <c r="E12" s="76"/>
      <c r="F12" s="267">
        <f>IF('3. Basic Input &amp; Assumptions'!$D$7="No",0,D12*E12)</f>
        <v>0</v>
      </c>
      <c r="G12" s="257" t="s">
        <v>274</v>
      </c>
    </row>
    <row r="13" spans="2:7" ht="15" customHeight="1">
      <c r="B13" s="73" t="s">
        <v>275</v>
      </c>
      <c r="C13" s="260"/>
      <c r="D13" s="67"/>
      <c r="E13" s="76"/>
      <c r="F13" s="267">
        <f>IF('3. Basic Input &amp; Assumptions'!$D$7="No",0,D13*E13)</f>
        <v>0</v>
      </c>
      <c r="G13" s="257"/>
    </row>
    <row r="14" spans="2:7" ht="15" customHeight="1">
      <c r="B14" s="73" t="s">
        <v>276</v>
      </c>
      <c r="C14" s="260"/>
      <c r="D14" s="67"/>
      <c r="E14" s="76"/>
      <c r="F14" s="267">
        <f>IF('3. Basic Input &amp; Assumptions'!$D$7="No",0,D14*E14)</f>
        <v>0</v>
      </c>
      <c r="G14" s="257"/>
    </row>
    <row r="15" spans="2:7" ht="15" customHeight="1">
      <c r="B15" s="73" t="s">
        <v>276</v>
      </c>
      <c r="C15" s="260"/>
      <c r="D15" s="67"/>
      <c r="E15" s="76"/>
      <c r="F15" s="267">
        <f>IF('3. Basic Input &amp; Assumptions'!$D$7="No",0,D15*E15)</f>
        <v>0</v>
      </c>
      <c r="G15" s="257"/>
    </row>
    <row r="16" spans="2:7" ht="15" customHeight="1">
      <c r="B16" s="158" t="s">
        <v>277</v>
      </c>
      <c r="C16" s="259"/>
      <c r="D16" s="62"/>
      <c r="E16" s="62"/>
      <c r="F16" s="62"/>
      <c r="G16" s="256"/>
    </row>
    <row r="17" spans="2:7" ht="15" customHeight="1">
      <c r="B17" s="73" t="s">
        <v>278</v>
      </c>
      <c r="C17" s="260" t="s">
        <v>271</v>
      </c>
      <c r="D17" s="67"/>
      <c r="E17" s="76"/>
      <c r="F17" s="267"/>
      <c r="G17" s="257" t="s">
        <v>279</v>
      </c>
    </row>
    <row r="18" spans="2:7" ht="15" customHeight="1">
      <c r="B18" s="73" t="s">
        <v>276</v>
      </c>
      <c r="C18" s="260"/>
      <c r="D18" s="67"/>
      <c r="E18" s="76"/>
      <c r="F18" s="267">
        <f>IF('3. Basic Input &amp; Assumptions'!$D$7="No",0,D18*E18)</f>
        <v>0</v>
      </c>
      <c r="G18" s="257"/>
    </row>
    <row r="19" spans="2:7" ht="15" customHeight="1">
      <c r="B19" s="73" t="s">
        <v>276</v>
      </c>
      <c r="C19" s="260"/>
      <c r="D19" s="67"/>
      <c r="E19" s="76"/>
      <c r="F19" s="267">
        <f>IF('3. Basic Input &amp; Assumptions'!$D$7="No",0,D19*E19)</f>
        <v>0</v>
      </c>
      <c r="G19" s="257"/>
    </row>
    <row r="20" spans="2:7" ht="15" customHeight="1">
      <c r="B20" s="73" t="s">
        <v>276</v>
      </c>
      <c r="C20" s="260"/>
      <c r="D20" s="67"/>
      <c r="E20" s="76"/>
      <c r="F20" s="267">
        <f>IF('3. Basic Input &amp; Assumptions'!$D$7="No",0,D20*E20)</f>
        <v>0</v>
      </c>
      <c r="G20" s="257"/>
    </row>
    <row r="21" spans="2:7" ht="15" customHeight="1">
      <c r="B21" s="70" t="s">
        <v>280</v>
      </c>
      <c r="C21" s="261"/>
      <c r="D21" s="262"/>
      <c r="E21" s="262"/>
      <c r="F21" s="272">
        <f>SUM(F10:F20)</f>
        <v>4500</v>
      </c>
      <c r="G21" s="273"/>
    </row>
    <row r="22" spans="2:7" ht="15" customHeight="1">
      <c r="B22" s="158"/>
      <c r="C22" s="259"/>
      <c r="D22" s="62"/>
      <c r="E22" s="62"/>
      <c r="F22" s="62"/>
      <c r="G22" s="256"/>
    </row>
    <row r="23" spans="2:7" ht="15" customHeight="1">
      <c r="B23" s="158" t="s">
        <v>150</v>
      </c>
      <c r="C23" s="259"/>
      <c r="D23" s="62"/>
      <c r="E23" s="62"/>
      <c r="F23" s="62"/>
      <c r="G23" s="256"/>
    </row>
    <row r="24" spans="2:7" ht="15" customHeight="1">
      <c r="B24" s="73" t="s">
        <v>151</v>
      </c>
      <c r="C24" s="260" t="s">
        <v>281</v>
      </c>
      <c r="D24" s="67">
        <v>1500</v>
      </c>
      <c r="E24" s="76">
        <v>3</v>
      </c>
      <c r="F24" s="267">
        <f>IF('3. Basic Input &amp; Assumptions'!$D$7="No",0,D24*E24)</f>
        <v>4500</v>
      </c>
      <c r="G24" s="257" t="s">
        <v>282</v>
      </c>
    </row>
    <row r="25" spans="2:7" ht="15" customHeight="1">
      <c r="B25" s="73" t="s">
        <v>152</v>
      </c>
      <c r="C25" s="260"/>
      <c r="D25" s="67"/>
      <c r="E25" s="76"/>
      <c r="F25" s="267">
        <f>IF('3. Basic Input &amp; Assumptions'!$D$7="No",0,D25*E25)</f>
        <v>0</v>
      </c>
      <c r="G25" s="257" t="s">
        <v>283</v>
      </c>
    </row>
    <row r="26" spans="2:7" ht="26.45">
      <c r="B26" s="73" t="s">
        <v>153</v>
      </c>
      <c r="C26" s="260"/>
      <c r="D26" s="67"/>
      <c r="E26" s="76"/>
      <c r="F26" s="267">
        <f>IF('3. Basic Input &amp; Assumptions'!$D$7="No",0,D26*E26)</f>
        <v>0</v>
      </c>
      <c r="G26" s="257" t="s">
        <v>284</v>
      </c>
    </row>
    <row r="27" spans="2:7" ht="39.6">
      <c r="B27" s="73" t="s">
        <v>285</v>
      </c>
      <c r="C27" s="260"/>
      <c r="D27" s="67"/>
      <c r="E27" s="76"/>
      <c r="F27" s="267">
        <f>IF('3. Basic Input &amp; Assumptions'!$D$7="No",0,D27*E27)</f>
        <v>0</v>
      </c>
      <c r="G27" s="257" t="s">
        <v>286</v>
      </c>
    </row>
    <row r="28" spans="2:7" ht="26.45">
      <c r="B28" s="73" t="s">
        <v>287</v>
      </c>
      <c r="C28" s="260"/>
      <c r="D28" s="67"/>
      <c r="E28" s="76"/>
      <c r="F28" s="267">
        <f>IF('3. Basic Input &amp; Assumptions'!$D$7="No",0,D28*E28)</f>
        <v>0</v>
      </c>
      <c r="G28" s="257" t="s">
        <v>288</v>
      </c>
    </row>
    <row r="29" spans="2:7" ht="26.45">
      <c r="B29" s="73" t="s">
        <v>289</v>
      </c>
      <c r="C29" s="260"/>
      <c r="D29" s="67"/>
      <c r="E29" s="76"/>
      <c r="F29" s="267">
        <f>IF('3. Basic Input &amp; Assumptions'!$D$7="No",0,D29*E29)</f>
        <v>0</v>
      </c>
      <c r="G29" s="257" t="s">
        <v>290</v>
      </c>
    </row>
    <row r="30" spans="2:7" ht="15.6">
      <c r="B30" s="73" t="s">
        <v>164</v>
      </c>
      <c r="C30" s="260"/>
      <c r="D30" s="67"/>
      <c r="E30" s="76"/>
      <c r="F30" s="267">
        <f>IF('3. Basic Input &amp; Assumptions'!$D$7="No",0,D30*E30)</f>
        <v>0</v>
      </c>
      <c r="G30" s="257" t="s">
        <v>291</v>
      </c>
    </row>
    <row r="31" spans="2:7" ht="26.45">
      <c r="B31" s="73" t="s">
        <v>167</v>
      </c>
      <c r="C31" s="260"/>
      <c r="D31" s="67"/>
      <c r="E31" s="76"/>
      <c r="F31" s="267">
        <f>IF('3. Basic Input &amp; Assumptions'!$D$7="No",0,D31*E31)</f>
        <v>0</v>
      </c>
      <c r="G31" s="257" t="s">
        <v>292</v>
      </c>
    </row>
    <row r="32" spans="2:7" ht="15" customHeight="1">
      <c r="B32" s="158" t="s">
        <v>293</v>
      </c>
      <c r="C32" s="259"/>
      <c r="D32" s="62"/>
      <c r="E32" s="62"/>
      <c r="F32" s="62"/>
      <c r="G32" s="256"/>
    </row>
    <row r="33" spans="2:7" ht="15" customHeight="1">
      <c r="B33" s="73" t="s">
        <v>294</v>
      </c>
      <c r="C33" s="260" t="s">
        <v>271</v>
      </c>
      <c r="D33" s="67"/>
      <c r="E33" s="76"/>
      <c r="F33" s="267">
        <f>IF('3. Basic Input &amp; Assumptions'!$D$7="No",0,D33*E33)</f>
        <v>0</v>
      </c>
      <c r="G33" s="257" t="s">
        <v>295</v>
      </c>
    </row>
    <row r="34" spans="2:7" ht="15" customHeight="1">
      <c r="B34" s="73" t="s">
        <v>296</v>
      </c>
      <c r="C34" s="260" t="s">
        <v>271</v>
      </c>
      <c r="D34" s="67"/>
      <c r="E34" s="76"/>
      <c r="F34" s="267">
        <f>IF('3. Basic Input &amp; Assumptions'!$D$7="No",0,D34*E34)</f>
        <v>0</v>
      </c>
      <c r="G34" s="257" t="s">
        <v>297</v>
      </c>
    </row>
    <row r="35" spans="2:7" ht="15" customHeight="1">
      <c r="B35" s="73" t="s">
        <v>298</v>
      </c>
      <c r="C35" s="260"/>
      <c r="D35" s="67"/>
      <c r="E35" s="76"/>
      <c r="F35" s="267">
        <f>IF('3. Basic Input &amp; Assumptions'!$D$7="No",0,D35*E35)</f>
        <v>0</v>
      </c>
      <c r="G35" s="257" t="s">
        <v>299</v>
      </c>
    </row>
    <row r="36" spans="2:7" ht="15" customHeight="1">
      <c r="B36" s="73" t="s">
        <v>300</v>
      </c>
      <c r="C36" s="260"/>
      <c r="D36" s="67"/>
      <c r="E36" s="76"/>
      <c r="F36" s="267">
        <f>IF('3. Basic Input &amp; Assumptions'!$D$7="No",0,D36*E36)</f>
        <v>0</v>
      </c>
      <c r="G36" s="257" t="s">
        <v>301</v>
      </c>
    </row>
    <row r="37" spans="2:7" ht="15" customHeight="1">
      <c r="B37" s="73" t="s">
        <v>302</v>
      </c>
      <c r="C37" s="260"/>
      <c r="D37" s="67"/>
      <c r="E37" s="76"/>
      <c r="F37" s="267">
        <f>IF('3. Basic Input &amp; Assumptions'!$D$7="No",0,D37*E37)</f>
        <v>0</v>
      </c>
      <c r="G37" s="257" t="s">
        <v>303</v>
      </c>
    </row>
    <row r="38" spans="2:7" ht="15" customHeight="1">
      <c r="B38" s="73" t="s">
        <v>304</v>
      </c>
      <c r="C38" s="260"/>
      <c r="D38" s="67"/>
      <c r="E38" s="76"/>
      <c r="F38" s="267">
        <f>IF('3. Basic Input &amp; Assumptions'!$D$7="No",0,D38*E38)</f>
        <v>0</v>
      </c>
      <c r="G38" s="257"/>
    </row>
    <row r="39" spans="2:7" ht="39.6">
      <c r="B39" s="73" t="s">
        <v>305</v>
      </c>
      <c r="C39" s="260"/>
      <c r="D39" s="67"/>
      <c r="E39" s="76"/>
      <c r="F39" s="267">
        <f>IF('3. Basic Input &amp; Assumptions'!$D$7="No",0,D39*E39)</f>
        <v>0</v>
      </c>
      <c r="G39" s="257" t="s">
        <v>306</v>
      </c>
    </row>
    <row r="40" spans="2:7" ht="26.45">
      <c r="B40" s="73" t="s">
        <v>307</v>
      </c>
      <c r="C40" s="260"/>
      <c r="D40" s="67"/>
      <c r="E40" s="76"/>
      <c r="F40" s="267">
        <f>IF('3. Basic Input &amp; Assumptions'!$D$7="No",0,D40*E40)</f>
        <v>0</v>
      </c>
      <c r="G40" s="257" t="s">
        <v>308</v>
      </c>
    </row>
    <row r="41" spans="2:7" ht="39.6">
      <c r="B41" s="73" t="s">
        <v>309</v>
      </c>
      <c r="C41" s="260"/>
      <c r="D41" s="67"/>
      <c r="E41" s="76"/>
      <c r="F41" s="267">
        <f>IF('3. Basic Input &amp; Assumptions'!$D$7="No",0,D41*E41)</f>
        <v>0</v>
      </c>
      <c r="G41" s="257" t="s">
        <v>310</v>
      </c>
    </row>
    <row r="42" spans="2:7" ht="39.6">
      <c r="B42" s="73" t="s">
        <v>311</v>
      </c>
      <c r="C42" s="260"/>
      <c r="D42" s="67"/>
      <c r="E42" s="76"/>
      <c r="F42" s="267">
        <f>IF('3. Basic Input &amp; Assumptions'!$D$7="No",0,D42*E42)</f>
        <v>0</v>
      </c>
      <c r="G42" s="257" t="s">
        <v>312</v>
      </c>
    </row>
    <row r="43" spans="2:7" ht="15" customHeight="1">
      <c r="B43" s="73" t="s">
        <v>276</v>
      </c>
      <c r="C43" s="260"/>
      <c r="D43" s="67"/>
      <c r="E43" s="76"/>
      <c r="F43" s="267">
        <f>IF('3. Basic Input &amp; Assumptions'!$D$7="No",0,D43*E43)</f>
        <v>0</v>
      </c>
      <c r="G43" s="257"/>
    </row>
    <row r="44" spans="2:7" ht="15" customHeight="1">
      <c r="B44" s="73" t="s">
        <v>276</v>
      </c>
      <c r="C44" s="260"/>
      <c r="D44" s="67"/>
      <c r="E44" s="76"/>
      <c r="F44" s="267">
        <f>IF('3. Basic Input &amp; Assumptions'!$D$7="No",0,D44*E44)</f>
        <v>0</v>
      </c>
      <c r="G44" s="257"/>
    </row>
    <row r="45" spans="2:7" ht="65.45">
      <c r="B45" s="73" t="s">
        <v>313</v>
      </c>
      <c r="C45" s="260"/>
      <c r="D45" s="67"/>
      <c r="E45" s="76"/>
      <c r="F45" s="267">
        <v>500</v>
      </c>
      <c r="G45" s="257" t="s">
        <v>314</v>
      </c>
    </row>
    <row r="46" spans="2:7" ht="15" customHeight="1">
      <c r="B46" s="158" t="s">
        <v>315</v>
      </c>
      <c r="C46" s="259"/>
      <c r="D46" s="62"/>
      <c r="E46" s="62"/>
      <c r="F46" s="62"/>
      <c r="G46" s="256"/>
    </row>
    <row r="47" spans="2:7" ht="15" customHeight="1">
      <c r="B47" s="73" t="s">
        <v>276</v>
      </c>
      <c r="C47" s="260"/>
      <c r="D47" s="67"/>
      <c r="E47" s="76"/>
      <c r="F47" s="267">
        <f>IF('3. Basic Input &amp; Assumptions'!$D$7="No",0,D47*E47)</f>
        <v>0</v>
      </c>
      <c r="G47" s="257"/>
    </row>
    <row r="48" spans="2:7" ht="15" customHeight="1">
      <c r="B48" s="73" t="s">
        <v>276</v>
      </c>
      <c r="C48" s="260"/>
      <c r="D48" s="67"/>
      <c r="E48" s="76"/>
      <c r="F48" s="267">
        <f>IF('3. Basic Input &amp; Assumptions'!$D$7="No",0,D48*E48)</f>
        <v>0</v>
      </c>
      <c r="G48" s="257"/>
    </row>
    <row r="49" spans="2:7" ht="15" customHeight="1">
      <c r="B49" s="73" t="s">
        <v>276</v>
      </c>
      <c r="C49" s="260"/>
      <c r="D49" s="67"/>
      <c r="E49" s="76"/>
      <c r="F49" s="267">
        <f>IF('3. Basic Input &amp; Assumptions'!$D$7="No",0,D49*E49)</f>
        <v>0</v>
      </c>
      <c r="G49" s="257"/>
    </row>
    <row r="50" spans="2:7" ht="15" customHeight="1">
      <c r="B50" s="73" t="s">
        <v>276</v>
      </c>
      <c r="C50" s="260"/>
      <c r="D50" s="67"/>
      <c r="E50" s="76"/>
      <c r="F50" s="267">
        <f>IF('3. Basic Input &amp; Assumptions'!$D$7="No",0,D50*E50)</f>
        <v>0</v>
      </c>
      <c r="G50" s="257"/>
    </row>
    <row r="51" spans="2:7" ht="15" customHeight="1">
      <c r="B51" s="70" t="s">
        <v>316</v>
      </c>
      <c r="C51" s="261"/>
      <c r="D51" s="262"/>
      <c r="E51" s="262"/>
      <c r="F51" s="272">
        <f>SUM(F24:F50)</f>
        <v>5000</v>
      </c>
      <c r="G51" s="273"/>
    </row>
    <row r="52" spans="2:7" ht="15" customHeight="1">
      <c r="B52" s="274" t="s">
        <v>317</v>
      </c>
      <c r="C52" s="152"/>
      <c r="D52" s="152"/>
      <c r="E52" s="152"/>
      <c r="F52" s="275">
        <f>SUM(F21,F51)</f>
        <v>9500</v>
      </c>
      <c r="G52" s="276"/>
    </row>
  </sheetData>
  <mergeCells count="4">
    <mergeCell ref="B2:G2"/>
    <mergeCell ref="B6:G6"/>
    <mergeCell ref="B4:G5"/>
    <mergeCell ref="B3:G3"/>
  </mergeCells>
  <pageMargins left="0.7" right="0.7" top="0.75" bottom="0.75" header="0.3" footer="0.3"/>
  <pageSetup orientation="portrait" r:id="rId1"/>
  <ignoredErrors>
    <ignoredError sqref="F22:F23 F51" unlockedFormula="1"/>
  </ignoredErrors>
  <drawing r:id="rId2"/>
  <extLst>
    <ext xmlns:x14="http://schemas.microsoft.com/office/spreadsheetml/2009/9/main" uri="{78C0D931-6437-407d-A8EE-F0AAD7539E65}">
      <x14:conditionalFormattings>
        <x14:conditionalFormatting xmlns:xm="http://schemas.microsoft.com/office/excel/2006/main">
          <x14:cfRule type="expression" priority="27" id="{B3A35096-8E00-4CBB-88A6-978141CF798D}">
            <xm:f>'3. Basic Input &amp; Assumptions'!$D$7="No"</xm:f>
            <x14:dxf>
              <font>
                <color theme="0"/>
              </font>
              <fill>
                <patternFill>
                  <bgColor theme="2" tint="-0.499984740745262"/>
                </patternFill>
              </fill>
            </x14:dxf>
          </x14:cfRule>
          <xm:sqref>B3:G3</xm:sqref>
        </x14:conditionalFormatting>
        <x14:conditionalFormatting xmlns:xm="http://schemas.microsoft.com/office/excel/2006/main">
          <x14:cfRule type="expression" priority="26" id="{016D5998-5EE5-4F0F-B156-A40BFAABEC27}">
            <xm:f>'3. Basic Input &amp; Assumptions'!$D$7="No"</xm:f>
            <x14:dxf>
              <font>
                <color theme="0"/>
              </font>
              <fill>
                <patternFill>
                  <bgColor theme="0"/>
                </patternFill>
              </fill>
              <border>
                <left/>
                <right/>
                <top/>
                <bottom/>
                <vertical/>
                <horizontal/>
              </border>
            </x14:dxf>
          </x14:cfRule>
          <xm:sqref>B4:G5</xm:sqref>
        </x14:conditionalFormatting>
        <x14:conditionalFormatting xmlns:xm="http://schemas.microsoft.com/office/excel/2006/main">
          <x14:cfRule type="expression" priority="25" id="{BC2DBF6A-607C-48BE-8293-78512D23D098}">
            <xm:f>'3. Basic Input &amp; Assumptions'!$D$7="No"</xm:f>
            <x14:dxf>
              <font>
                <color theme="0"/>
              </font>
              <fill>
                <patternFill>
                  <bgColor theme="0"/>
                </patternFill>
              </fill>
              <border>
                <left/>
                <right/>
                <top/>
                <bottom/>
                <vertical/>
                <horizontal/>
              </border>
            </x14:dxf>
          </x14:cfRule>
          <xm:sqref>B6:G6</xm:sqref>
        </x14:conditionalFormatting>
        <x14:conditionalFormatting xmlns:xm="http://schemas.microsoft.com/office/excel/2006/main">
          <x14:cfRule type="expression" priority="24" id="{94663407-EF02-44B9-8E94-8CD2CFA49E19}">
            <xm:f>'3. Basic Input &amp; Assumptions'!$D$7="No"</xm:f>
            <x14:dxf>
              <font>
                <color theme="0"/>
              </font>
              <fill>
                <patternFill>
                  <bgColor theme="0"/>
                </patternFill>
              </fill>
              <border>
                <left/>
                <right/>
                <top/>
                <bottom/>
                <vertical/>
                <horizontal/>
              </border>
            </x14:dxf>
          </x14:cfRule>
          <xm:sqref>B7:G7</xm:sqref>
        </x14:conditionalFormatting>
        <x14:conditionalFormatting xmlns:xm="http://schemas.microsoft.com/office/excel/2006/main">
          <x14:cfRule type="expression" priority="23" id="{80922F2E-FA27-41D4-8F7B-CCB59D423FDF}">
            <xm:f>'3. Basic Input &amp; Assumptions'!$D$7="No"</xm:f>
            <x14:dxf>
              <font>
                <color theme="0"/>
              </font>
              <fill>
                <patternFill>
                  <bgColor theme="0"/>
                </patternFill>
              </fill>
              <border>
                <left/>
                <right/>
                <top/>
                <bottom/>
                <vertical/>
                <horizontal/>
              </border>
            </x14:dxf>
          </x14:cfRule>
          <xm:sqref>B8:G8</xm:sqref>
        </x14:conditionalFormatting>
        <x14:conditionalFormatting xmlns:xm="http://schemas.microsoft.com/office/excel/2006/main">
          <x14:cfRule type="expression" priority="22" id="{B7DA020F-340A-464D-9EE3-BFF04C759D77}">
            <xm:f>'3. Basic Input &amp; Assumptions'!$D$7="No"</xm:f>
            <x14:dxf>
              <font>
                <color theme="0"/>
              </font>
              <fill>
                <patternFill>
                  <bgColor theme="0"/>
                </patternFill>
              </fill>
              <border>
                <left/>
                <right/>
                <top/>
                <bottom/>
                <vertical/>
                <horizontal/>
              </border>
            </x14:dxf>
          </x14:cfRule>
          <xm:sqref>B9:G9</xm:sqref>
        </x14:conditionalFormatting>
        <x14:conditionalFormatting xmlns:xm="http://schemas.microsoft.com/office/excel/2006/main">
          <x14:cfRule type="expression" priority="21" id="{785E089C-4BC8-4667-9BB8-D86719FCA71B}">
            <xm:f>'3. Basic Input &amp; Assumptions'!$D$7="No"</xm:f>
            <x14:dxf>
              <font>
                <color theme="0"/>
              </font>
              <fill>
                <patternFill>
                  <bgColor theme="0"/>
                </patternFill>
              </fill>
              <border>
                <left/>
                <right/>
                <top/>
                <bottom/>
                <vertical/>
                <horizontal/>
              </border>
            </x14:dxf>
          </x14:cfRule>
          <xm:sqref>B16:G16</xm:sqref>
        </x14:conditionalFormatting>
        <x14:conditionalFormatting xmlns:xm="http://schemas.microsoft.com/office/excel/2006/main">
          <x14:cfRule type="expression" priority="20" id="{F304ABC1-E5A3-47A4-8FFA-9771C68535AE}">
            <xm:f>'3. Basic Input &amp; Assumptions'!$D$7="No"</xm:f>
            <x14:dxf>
              <font>
                <color theme="0"/>
              </font>
              <fill>
                <patternFill>
                  <bgColor theme="0"/>
                </patternFill>
              </fill>
              <border>
                <left/>
                <right/>
                <top/>
                <bottom/>
                <vertical/>
                <horizontal/>
              </border>
            </x14:dxf>
          </x14:cfRule>
          <xm:sqref>B22:G23</xm:sqref>
        </x14:conditionalFormatting>
        <x14:conditionalFormatting xmlns:xm="http://schemas.microsoft.com/office/excel/2006/main">
          <x14:cfRule type="expression" priority="19" id="{1D597450-B346-4AE9-80ED-D539A55E3E95}">
            <xm:f>'3. Basic Input &amp; Assumptions'!$D$7="No"</xm:f>
            <x14:dxf>
              <font>
                <color theme="0"/>
              </font>
              <fill>
                <patternFill>
                  <bgColor theme="0"/>
                </patternFill>
              </fill>
              <border>
                <left/>
                <right/>
                <top/>
                <bottom/>
                <vertical/>
                <horizontal/>
              </border>
            </x14:dxf>
          </x14:cfRule>
          <xm:sqref>B32:G32</xm:sqref>
        </x14:conditionalFormatting>
        <x14:conditionalFormatting xmlns:xm="http://schemas.microsoft.com/office/excel/2006/main">
          <x14:cfRule type="expression" priority="18" id="{C93705F2-1759-468F-9B4E-2B7CE18D22DC}">
            <xm:f>'3. Basic Input &amp; Assumptions'!$D$7="No"</xm:f>
            <x14:dxf>
              <font>
                <color theme="0"/>
              </font>
              <fill>
                <patternFill>
                  <bgColor theme="0"/>
                </patternFill>
              </fill>
              <border>
                <left/>
                <right/>
                <top/>
                <bottom/>
                <vertical/>
                <horizontal/>
              </border>
            </x14:dxf>
          </x14:cfRule>
          <xm:sqref>B46:G46</xm:sqref>
        </x14:conditionalFormatting>
        <x14:conditionalFormatting xmlns:xm="http://schemas.microsoft.com/office/excel/2006/main">
          <x14:cfRule type="expression" priority="16" id="{4D7C0DD9-2DB0-4F89-A000-3ED82F1A0D9C}">
            <xm:f>'3. Basic Input &amp; Assumptions'!$D$7="No"</xm:f>
            <x14:dxf>
              <font>
                <color theme="0"/>
              </font>
              <fill>
                <patternFill>
                  <bgColor theme="0"/>
                </patternFill>
              </fill>
              <border>
                <left/>
                <right/>
                <top/>
                <bottom/>
                <vertical/>
                <horizontal/>
              </border>
            </x14:dxf>
          </x14:cfRule>
          <xm:sqref>B10:G10</xm:sqref>
        </x14:conditionalFormatting>
        <x14:conditionalFormatting xmlns:xm="http://schemas.microsoft.com/office/excel/2006/main">
          <x14:cfRule type="expression" priority="15" id="{D13F9A20-63A3-4959-9B59-33E56E2657FB}">
            <xm:f>'3. Basic Input &amp; Assumptions'!$D$7="No"</xm:f>
            <x14:dxf>
              <font>
                <color theme="0"/>
              </font>
              <fill>
                <patternFill>
                  <bgColor theme="0"/>
                </patternFill>
              </fill>
              <border>
                <left/>
                <right/>
                <top/>
                <bottom/>
                <vertical/>
                <horizontal/>
              </border>
            </x14:dxf>
          </x14:cfRule>
          <xm:sqref>B11:G15</xm:sqref>
        </x14:conditionalFormatting>
        <x14:conditionalFormatting xmlns:xm="http://schemas.microsoft.com/office/excel/2006/main">
          <x14:cfRule type="expression" priority="14" id="{BF13C21F-F2E3-4883-AC14-1CF09449D9ED}">
            <xm:f>'3. Basic Input &amp; Assumptions'!$D$7="No"</xm:f>
            <x14:dxf>
              <font>
                <color theme="0"/>
              </font>
              <fill>
                <patternFill>
                  <bgColor theme="0"/>
                </patternFill>
              </fill>
              <border>
                <left/>
                <right/>
                <top/>
                <bottom/>
                <vertical/>
                <horizontal/>
              </border>
            </x14:dxf>
          </x14:cfRule>
          <xm:sqref>B17:G20</xm:sqref>
        </x14:conditionalFormatting>
        <x14:conditionalFormatting xmlns:xm="http://schemas.microsoft.com/office/excel/2006/main">
          <x14:cfRule type="expression" priority="13" id="{60D81507-C033-42A1-94D2-08BEF4F29F87}">
            <xm:f>'3. Basic Input &amp; Assumptions'!$D$7="No"</xm:f>
            <x14:dxf>
              <font>
                <color theme="0"/>
              </font>
              <fill>
                <patternFill>
                  <bgColor theme="0"/>
                </patternFill>
              </fill>
              <border>
                <left/>
                <right/>
                <top/>
                <bottom/>
                <vertical/>
                <horizontal/>
              </border>
            </x14:dxf>
          </x14:cfRule>
          <xm:sqref>B24:G31</xm:sqref>
        </x14:conditionalFormatting>
        <x14:conditionalFormatting xmlns:xm="http://schemas.microsoft.com/office/excel/2006/main">
          <x14:cfRule type="expression" priority="12" id="{DEA2C182-A72F-4AE1-98B5-FD0E80C99701}">
            <xm:f>'3. Basic Input &amp; Assumptions'!$D$7="No"</xm:f>
            <x14:dxf>
              <font>
                <color theme="0"/>
              </font>
              <fill>
                <patternFill>
                  <bgColor theme="0"/>
                </patternFill>
              </fill>
              <border>
                <left/>
                <right/>
                <top/>
                <bottom/>
                <vertical/>
                <horizontal/>
              </border>
            </x14:dxf>
          </x14:cfRule>
          <xm:sqref>B33:G45</xm:sqref>
        </x14:conditionalFormatting>
        <x14:conditionalFormatting xmlns:xm="http://schemas.microsoft.com/office/excel/2006/main">
          <x14:cfRule type="expression" priority="11" id="{1130BBC6-238B-4D10-A64D-BC8B4CCEBC98}">
            <xm:f>'3. Basic Input &amp; Assumptions'!$D$7="No"</xm:f>
            <x14:dxf>
              <font>
                <color theme="0"/>
              </font>
              <fill>
                <patternFill>
                  <bgColor theme="0"/>
                </patternFill>
              </fill>
              <border>
                <left/>
                <right/>
                <top/>
                <bottom/>
                <vertical/>
                <horizontal/>
              </border>
            </x14:dxf>
          </x14:cfRule>
          <xm:sqref>B47:G50</xm:sqref>
        </x14:conditionalFormatting>
        <x14:conditionalFormatting xmlns:xm="http://schemas.microsoft.com/office/excel/2006/main">
          <x14:cfRule type="expression" priority="10" id="{A5879EC0-9265-4237-96AB-306E4A9D3346}">
            <xm:f>'3. Basic Input &amp; Assumptions'!$D$7="No"</xm:f>
            <x14:dxf>
              <font>
                <color theme="0"/>
              </font>
              <fill>
                <patternFill>
                  <bgColor theme="0"/>
                </patternFill>
              </fill>
              <border>
                <left/>
                <right/>
                <top/>
                <bottom/>
                <vertical/>
                <horizontal/>
              </border>
            </x14:dxf>
          </x14:cfRule>
          <xm:sqref>B21:G21</xm:sqref>
        </x14:conditionalFormatting>
        <x14:conditionalFormatting xmlns:xm="http://schemas.microsoft.com/office/excel/2006/main">
          <x14:cfRule type="expression" priority="9" id="{D20A7E50-1962-4D95-99EC-5E213CCC316D}">
            <xm:f>'3. Basic Input &amp; Assumptions'!$D$7="No"</xm:f>
            <x14:dxf>
              <font>
                <color theme="0"/>
              </font>
              <fill>
                <patternFill>
                  <bgColor theme="0"/>
                </patternFill>
              </fill>
              <border>
                <left/>
                <right/>
                <top/>
                <bottom/>
                <vertical/>
                <horizontal/>
              </border>
            </x14:dxf>
          </x14:cfRule>
          <xm:sqref>B51:G51</xm:sqref>
        </x14:conditionalFormatting>
        <x14:conditionalFormatting xmlns:xm="http://schemas.microsoft.com/office/excel/2006/main">
          <x14:cfRule type="expression" priority="8" id="{2EED9E13-AD66-4DD1-810A-444FE0260924}">
            <xm:f>'3. Basic Input &amp; Assumptions'!$D$7="No"</xm:f>
            <x14:dxf>
              <font>
                <color theme="0"/>
              </font>
              <fill>
                <patternFill>
                  <bgColor theme="0"/>
                </patternFill>
              </fill>
              <border>
                <left/>
                <right/>
                <top/>
                <bottom/>
                <vertical/>
                <horizontal/>
              </border>
            </x14:dxf>
          </x14:cfRule>
          <xm:sqref>B52:G52</xm:sqref>
        </x14:conditionalFormatting>
      </x14:conditionalFormatting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N76"/>
  <sheetViews>
    <sheetView zoomScale="85" zoomScaleNormal="85" workbookViewId="0">
      <selection activeCell="F5" sqref="F5"/>
    </sheetView>
  </sheetViews>
  <sheetFormatPr defaultColWidth="8.5703125" defaultRowHeight="12.95"/>
  <cols>
    <col min="1" max="1" width="7.42578125" style="310" customWidth="1"/>
    <col min="2" max="2" width="38.85546875" style="318" customWidth="1"/>
    <col min="3" max="3" width="25.85546875" style="334" bestFit="1" customWidth="1"/>
    <col min="4" max="4" width="25" style="334" customWidth="1"/>
    <col min="5" max="5" width="20.5703125" style="334" customWidth="1"/>
    <col min="6" max="6" width="26.5703125" style="335" customWidth="1"/>
    <col min="7" max="7" width="13" style="310" customWidth="1"/>
    <col min="8" max="8" width="12.85546875" style="310" customWidth="1"/>
    <col min="9" max="9" width="16.5703125" style="310" customWidth="1"/>
    <col min="10" max="10" width="93.5703125" style="310" customWidth="1"/>
    <col min="11" max="11" width="8.42578125" style="333" customWidth="1"/>
    <col min="12" max="12" width="8.42578125" style="310" customWidth="1"/>
    <col min="13" max="16384" width="8.5703125" style="310"/>
  </cols>
  <sheetData>
    <row r="1" spans="1:11" s="328" customFormat="1" ht="15.6">
      <c r="A1" s="338"/>
      <c r="B1" s="306"/>
      <c r="C1" s="306"/>
      <c r="D1" s="306"/>
      <c r="E1" s="89"/>
      <c r="F1" s="3"/>
      <c r="G1" s="3"/>
      <c r="H1" s="3"/>
      <c r="I1" s="3"/>
      <c r="J1" s="1"/>
    </row>
    <row r="2" spans="1:11" s="328" customFormat="1" ht="15.6">
      <c r="A2" s="531" t="s">
        <v>318</v>
      </c>
      <c r="B2" s="531"/>
      <c r="C2" s="531"/>
      <c r="D2" s="531"/>
      <c r="E2" s="531"/>
      <c r="F2" s="531"/>
      <c r="G2" s="531"/>
      <c r="H2" s="531"/>
      <c r="I2" s="531"/>
      <c r="J2" s="531"/>
    </row>
    <row r="3" spans="1:11" ht="15.6">
      <c r="A3" s="339"/>
      <c r="B3" s="307"/>
      <c r="C3" s="307"/>
      <c r="D3" s="307"/>
      <c r="E3" s="302"/>
      <c r="F3" s="295"/>
      <c r="G3" s="438"/>
      <c r="H3" s="438"/>
      <c r="I3" s="295"/>
      <c r="J3" s="303"/>
      <c r="K3" s="310"/>
    </row>
    <row r="4" spans="1:11" ht="27.95" customHeight="1" thickBot="1">
      <c r="A4" s="339"/>
      <c r="B4" s="532" t="s">
        <v>319</v>
      </c>
      <c r="C4" s="532"/>
      <c r="D4" s="532"/>
      <c r="E4" s="532"/>
      <c r="F4" s="532"/>
      <c r="G4" s="532"/>
      <c r="H4" s="532"/>
      <c r="I4" s="532"/>
      <c r="J4" s="532"/>
      <c r="K4" s="310"/>
    </row>
    <row r="5" spans="1:11" ht="29.25" customHeight="1" thickBot="1">
      <c r="A5" s="339"/>
      <c r="B5" s="439" t="s">
        <v>320</v>
      </c>
      <c r="C5" s="439"/>
      <c r="D5" s="439"/>
      <c r="E5" s="440"/>
      <c r="F5" s="441" t="s">
        <v>321</v>
      </c>
      <c r="G5" s="437"/>
      <c r="H5" s="437"/>
      <c r="I5" s="437"/>
      <c r="J5" s="442"/>
      <c r="K5" s="310"/>
    </row>
    <row r="6" spans="1:11" ht="15.6">
      <c r="A6" s="339"/>
      <c r="B6" s="533" t="s">
        <v>322</v>
      </c>
      <c r="C6" s="533"/>
      <c r="D6" s="533"/>
      <c r="E6" s="533"/>
      <c r="F6" s="533"/>
      <c r="G6" s="533"/>
      <c r="H6" s="533"/>
      <c r="I6" s="533"/>
      <c r="J6" s="533"/>
      <c r="K6" s="310"/>
    </row>
    <row r="7" spans="1:11" ht="15.6">
      <c r="A7" s="339"/>
      <c r="B7" s="325" t="s">
        <v>323</v>
      </c>
      <c r="C7" s="325"/>
      <c r="D7" s="325"/>
      <c r="E7" s="326"/>
      <c r="F7" s="326"/>
      <c r="G7" s="326"/>
      <c r="H7" s="326"/>
      <c r="I7" s="326"/>
      <c r="J7" s="327"/>
      <c r="K7" s="310"/>
    </row>
    <row r="8" spans="1:11" ht="14.45">
      <c r="A8" s="339"/>
      <c r="B8" s="308"/>
      <c r="C8" s="308"/>
      <c r="D8" s="308"/>
      <c r="E8" s="304"/>
      <c r="F8" s="293"/>
      <c r="G8" s="293"/>
      <c r="H8" s="293"/>
      <c r="I8" s="293"/>
      <c r="J8" s="309"/>
      <c r="K8" s="310"/>
    </row>
    <row r="9" spans="1:11" ht="93">
      <c r="B9" s="341" t="s">
        <v>324</v>
      </c>
      <c r="C9" s="404" t="s">
        <v>325</v>
      </c>
      <c r="D9" s="405" t="s">
        <v>326</v>
      </c>
      <c r="E9" s="405" t="s">
        <v>263</v>
      </c>
      <c r="F9" s="406" t="s">
        <v>264</v>
      </c>
      <c r="G9" s="405" t="s">
        <v>327</v>
      </c>
      <c r="H9" s="407" t="s">
        <v>328</v>
      </c>
      <c r="I9" s="406" t="s">
        <v>266</v>
      </c>
      <c r="J9" s="408" t="s">
        <v>267</v>
      </c>
      <c r="K9" s="310"/>
    </row>
    <row r="10" spans="1:11" ht="15.6">
      <c r="B10" s="376" t="s">
        <v>142</v>
      </c>
      <c r="C10" s="409"/>
      <c r="D10" s="399"/>
      <c r="E10" s="399"/>
      <c r="F10" s="399"/>
      <c r="G10" s="399"/>
      <c r="H10" s="399"/>
      <c r="I10" s="399"/>
      <c r="J10" s="399"/>
      <c r="K10" s="310"/>
    </row>
    <row r="11" spans="1:11" ht="15.6">
      <c r="B11" s="376" t="s">
        <v>143</v>
      </c>
      <c r="C11" s="403"/>
      <c r="D11" s="387"/>
      <c r="E11" s="387"/>
      <c r="F11" s="387"/>
      <c r="G11" s="387"/>
      <c r="H11" s="387"/>
      <c r="I11" s="387"/>
      <c r="J11" s="387"/>
      <c r="K11" s="310"/>
    </row>
    <row r="12" spans="1:11" ht="46.5">
      <c r="B12" s="347" t="s">
        <v>329</v>
      </c>
      <c r="C12" s="378" t="s">
        <v>330</v>
      </c>
      <c r="D12" s="379" t="s">
        <v>331</v>
      </c>
      <c r="E12" s="380" t="s">
        <v>332</v>
      </c>
      <c r="F12" s="381">
        <v>65000</v>
      </c>
      <c r="G12" s="402">
        <v>1</v>
      </c>
      <c r="H12" s="383" t="s">
        <v>333</v>
      </c>
      <c r="I12" s="384">
        <f>IF(OR('[1]3. Basic Input &amp; Assumptions'!$D$8="No",H12="No",H12=""),0,'[1]9. New Medicaid Provider Costs'!F12*'[1]9. New Medicaid Provider Costs'!G12)</f>
        <v>0</v>
      </c>
      <c r="J12" s="385" t="s">
        <v>334</v>
      </c>
      <c r="K12" s="310"/>
    </row>
    <row r="13" spans="1:11" ht="15.6">
      <c r="B13" s="347" t="s">
        <v>335</v>
      </c>
      <c r="C13" s="343" t="s">
        <v>336</v>
      </c>
      <c r="D13" s="347" t="s">
        <v>331</v>
      </c>
      <c r="E13" s="313" t="s">
        <v>332</v>
      </c>
      <c r="F13" s="260">
        <v>45000</v>
      </c>
      <c r="G13" s="319">
        <v>1</v>
      </c>
      <c r="H13" s="320" t="s">
        <v>39</v>
      </c>
      <c r="I13" s="321">
        <f>IF(OR('[1]3. Basic Input &amp; Assumptions'!$D$8="No",H13="No",H13=""),0,'[1]9. New Medicaid Provider Costs'!F13*'[1]9. New Medicaid Provider Costs'!G13)</f>
        <v>45000</v>
      </c>
      <c r="J13" s="348"/>
      <c r="K13" s="310"/>
    </row>
    <row r="14" spans="1:11" ht="62.1">
      <c r="B14" s="347" t="s">
        <v>337</v>
      </c>
      <c r="C14" s="344" t="s">
        <v>338</v>
      </c>
      <c r="D14" s="350" t="s">
        <v>331</v>
      </c>
      <c r="E14" s="314" t="s">
        <v>332</v>
      </c>
      <c r="F14" s="377">
        <v>48000</v>
      </c>
      <c r="G14" s="322">
        <v>1</v>
      </c>
      <c r="H14" s="324" t="s">
        <v>333</v>
      </c>
      <c r="I14" s="323">
        <f>IF(OR('[1]3. Basic Input &amp; Assumptions'!$D$8="No",H14="No",H14=""),0,'[1]9. New Medicaid Provider Costs'!F14*'[1]9. New Medicaid Provider Costs'!G14)</f>
        <v>0</v>
      </c>
      <c r="J14" s="354" t="s">
        <v>339</v>
      </c>
      <c r="K14" s="310"/>
    </row>
    <row r="15" spans="1:11" ht="15.6">
      <c r="B15" s="401" t="s">
        <v>145</v>
      </c>
      <c r="C15" s="386"/>
      <c r="D15" s="403"/>
      <c r="E15" s="403"/>
      <c r="F15" s="66"/>
      <c r="G15" s="403"/>
      <c r="H15" s="403"/>
      <c r="I15" s="403"/>
      <c r="J15" s="403"/>
      <c r="K15" s="310"/>
    </row>
    <row r="16" spans="1:11" ht="77.45">
      <c r="B16" s="347" t="s">
        <v>340</v>
      </c>
      <c r="C16" s="378" t="s">
        <v>336</v>
      </c>
      <c r="D16" s="379" t="s">
        <v>341</v>
      </c>
      <c r="E16" s="380" t="s">
        <v>332</v>
      </c>
      <c r="F16" s="381">
        <v>20000</v>
      </c>
      <c r="G16" s="402">
        <v>1</v>
      </c>
      <c r="H16" s="383" t="s">
        <v>39</v>
      </c>
      <c r="I16" s="384">
        <f>IF(OR('[1]3. Basic Input &amp; Assumptions'!$D$8="No",H16="No",H16=""),0,'[1]9. New Medicaid Provider Costs'!F16*'[1]9. New Medicaid Provider Costs'!G16)</f>
        <v>20000</v>
      </c>
      <c r="J16" s="385" t="s">
        <v>342</v>
      </c>
      <c r="K16" s="310"/>
    </row>
    <row r="17" spans="2:12" ht="77.45">
      <c r="B17" s="347" t="s">
        <v>343</v>
      </c>
      <c r="C17" s="344" t="s">
        <v>336</v>
      </c>
      <c r="D17" s="350" t="s">
        <v>344</v>
      </c>
      <c r="E17" s="314" t="s">
        <v>332</v>
      </c>
      <c r="F17" s="315" t="s">
        <v>345</v>
      </c>
      <c r="G17" s="322"/>
      <c r="H17" s="324" t="s">
        <v>39</v>
      </c>
      <c r="I17" s="351">
        <v>0</v>
      </c>
      <c r="J17" s="354" t="s">
        <v>346</v>
      </c>
      <c r="K17" s="310"/>
    </row>
    <row r="18" spans="2:12" ht="15.6">
      <c r="B18" s="376" t="s">
        <v>146</v>
      </c>
      <c r="C18" s="386"/>
      <c r="D18" s="387"/>
      <c r="E18" s="387"/>
      <c r="F18" s="66"/>
      <c r="G18" s="387"/>
      <c r="H18" s="387"/>
      <c r="I18" s="387"/>
      <c r="J18" s="387"/>
      <c r="K18" s="310"/>
    </row>
    <row r="19" spans="2:12" ht="62.1">
      <c r="B19" s="349" t="s">
        <v>276</v>
      </c>
      <c r="C19" s="388" t="s">
        <v>336</v>
      </c>
      <c r="D19" s="389" t="s">
        <v>341</v>
      </c>
      <c r="E19" s="390" t="s">
        <v>347</v>
      </c>
      <c r="F19" s="391"/>
      <c r="G19" s="392">
        <f>IF($F$5="Apply to Housing Stabilization Services Tab 4",'[1]2. Budget Summary Output'!$F$5,)</f>
        <v>25</v>
      </c>
      <c r="H19" s="393"/>
      <c r="I19" s="394">
        <f>IF(OR('[1]3. Basic Input &amp; Assumptions'!$D$8="No",H19="No",H19=""),0,'[1]9. New Medicaid Provider Costs'!F19*'[1]9. New Medicaid Provider Costs'!G19)</f>
        <v>0</v>
      </c>
      <c r="J19" s="395" t="s">
        <v>348</v>
      </c>
      <c r="K19" s="310"/>
    </row>
    <row r="20" spans="2:12" ht="15.95" thickBot="1">
      <c r="B20" s="376" t="s">
        <v>147</v>
      </c>
      <c r="C20" s="386"/>
      <c r="D20" s="387"/>
      <c r="E20" s="387"/>
      <c r="F20" s="66"/>
      <c r="G20" s="387"/>
      <c r="H20" s="387"/>
      <c r="I20" s="387"/>
      <c r="J20" s="387"/>
      <c r="K20" s="310"/>
    </row>
    <row r="21" spans="2:12" ht="90" customHeight="1" thickBot="1">
      <c r="B21" s="347" t="s">
        <v>349</v>
      </c>
      <c r="C21" s="378" t="s">
        <v>330</v>
      </c>
      <c r="D21" s="379" t="s">
        <v>331</v>
      </c>
      <c r="E21" s="380" t="s">
        <v>350</v>
      </c>
      <c r="F21" s="381">
        <v>50</v>
      </c>
      <c r="G21" s="382">
        <f>IF($F$5="Apply to Housing Stabilization Services Tab 4",'[1]2. Budget Summary Output'!$F$5,)</f>
        <v>25</v>
      </c>
      <c r="H21" s="383" t="s">
        <v>39</v>
      </c>
      <c r="I21" s="384">
        <f>IF(OR('[1]3. Basic Input &amp; Assumptions'!$D$8="No",H21="No",H21=""),0,'[1]9. New Medicaid Provider Costs'!F21*'[1]9. New Medicaid Provider Costs'!G21)</f>
        <v>1250</v>
      </c>
      <c r="J21" s="414" t="s">
        <v>351</v>
      </c>
      <c r="K21" s="534" t="s">
        <v>352</v>
      </c>
      <c r="L21" s="525"/>
    </row>
    <row r="22" spans="2:12" ht="30.95">
      <c r="B22" s="347" t="s">
        <v>353</v>
      </c>
      <c r="C22" s="343" t="s">
        <v>336</v>
      </c>
      <c r="D22" s="347" t="s">
        <v>331</v>
      </c>
      <c r="E22" s="313" t="s">
        <v>350</v>
      </c>
      <c r="F22" s="260">
        <v>50</v>
      </c>
      <c r="G22" s="366">
        <f>IF($F$5="Apply to Housing Stabilization Services Tab 4",'[1]2. Budget Summary Output'!$F$5,)</f>
        <v>25</v>
      </c>
      <c r="H22" s="320"/>
      <c r="I22" s="321">
        <f>IF(OR('[1]3. Basic Input &amp; Assumptions'!$D$8="No",H22="No",H22=""),0,'[1]9. New Medicaid Provider Costs'!F22*'[1]9. New Medicaid Provider Costs'!G22)</f>
        <v>0</v>
      </c>
      <c r="J22" s="348"/>
      <c r="K22" s="310"/>
    </row>
    <row r="23" spans="2:12" ht="77.45">
      <c r="B23" s="350" t="s">
        <v>354</v>
      </c>
      <c r="C23" s="344" t="s">
        <v>336</v>
      </c>
      <c r="D23" s="350" t="s">
        <v>331</v>
      </c>
      <c r="E23" s="314"/>
      <c r="F23" s="315" t="s">
        <v>355</v>
      </c>
      <c r="G23" s="322"/>
      <c r="H23" s="324"/>
      <c r="I23" s="323">
        <f>IF(OR('[1]3. Basic Input &amp; Assumptions'!$D$8="No",H23="No",H23=""),0,'[1]9. New Medicaid Provider Costs'!F23*'[1]9. New Medicaid Provider Costs'!G23)</f>
        <v>0</v>
      </c>
      <c r="J23" s="351" t="s">
        <v>356</v>
      </c>
      <c r="K23" s="310"/>
    </row>
    <row r="24" spans="2:12" s="318" customFormat="1" ht="30.95">
      <c r="B24" s="416" t="s">
        <v>357</v>
      </c>
      <c r="C24" s="386"/>
      <c r="D24" s="399"/>
      <c r="E24" s="399"/>
      <c r="F24" s="399"/>
      <c r="G24" s="399"/>
      <c r="H24" s="399"/>
      <c r="I24" s="417">
        <f>SUMIF(D12:D23,"Start Up",I12:I23)</f>
        <v>20000</v>
      </c>
      <c r="J24" s="345"/>
    </row>
    <row r="25" spans="2:12" s="318" customFormat="1" ht="30.95">
      <c r="B25" s="410" t="s">
        <v>358</v>
      </c>
      <c r="C25" s="386"/>
      <c r="D25" s="399"/>
      <c r="E25" s="399"/>
      <c r="F25" s="399"/>
      <c r="G25" s="399"/>
      <c r="H25" s="399"/>
      <c r="I25" s="418">
        <f>SUMIF(D12:D23,"Ongoing-monthly",I12:I23)+SUMIF(D12:D23,"Ongoing- Annual",I12:I23)+SUMIF(D12:D23,"Ongoing-quarterly",I12:I23)</f>
        <v>46250</v>
      </c>
      <c r="J25" s="342"/>
    </row>
    <row r="26" spans="2:12" ht="15.6">
      <c r="B26" s="376"/>
      <c r="C26" s="386"/>
      <c r="D26" s="399"/>
      <c r="E26" s="399"/>
      <c r="F26" s="399"/>
      <c r="G26" s="399"/>
      <c r="H26" s="399"/>
      <c r="I26" s="396"/>
      <c r="J26" s="342"/>
      <c r="K26" s="310"/>
    </row>
    <row r="27" spans="2:12" ht="15.6">
      <c r="B27" s="376" t="s">
        <v>150</v>
      </c>
      <c r="C27" s="386"/>
      <c r="D27" s="399"/>
      <c r="E27" s="399"/>
      <c r="F27" s="399"/>
      <c r="G27" s="399"/>
      <c r="H27" s="399"/>
      <c r="I27" s="396"/>
      <c r="J27" s="342"/>
      <c r="K27" s="310"/>
    </row>
    <row r="28" spans="2:12" ht="15.6">
      <c r="B28" s="376" t="s">
        <v>359</v>
      </c>
      <c r="C28" s="386"/>
      <c r="D28" s="399"/>
      <c r="E28" s="399"/>
      <c r="F28" s="399"/>
      <c r="G28" s="399"/>
      <c r="H28" s="399"/>
      <c r="I28" s="396"/>
      <c r="J28" s="342"/>
      <c r="K28" s="310"/>
    </row>
    <row r="29" spans="2:12" ht="93">
      <c r="B29" s="347" t="s">
        <v>360</v>
      </c>
      <c r="C29" s="378" t="s">
        <v>338</v>
      </c>
      <c r="D29" s="397" t="s">
        <v>331</v>
      </c>
      <c r="E29" s="398" t="s">
        <v>332</v>
      </c>
      <c r="F29" s="381">
        <v>750</v>
      </c>
      <c r="G29" s="383">
        <v>1</v>
      </c>
      <c r="H29" s="383" t="s">
        <v>39</v>
      </c>
      <c r="I29" s="321">
        <f>IF(OR('[1]3. Basic Input &amp; Assumptions'!$D$8="No",H29="No",H29=""),0,'[1]9. New Medicaid Provider Costs'!F29*'[1]9. New Medicaid Provider Costs'!G29)</f>
        <v>750</v>
      </c>
      <c r="J29" s="348" t="s">
        <v>361</v>
      </c>
      <c r="K29" s="310"/>
    </row>
    <row r="30" spans="2:12" ht="15.6">
      <c r="B30" s="347" t="s">
        <v>294</v>
      </c>
      <c r="C30" s="343"/>
      <c r="D30" s="352"/>
      <c r="E30" s="305"/>
      <c r="F30" s="260"/>
      <c r="G30" s="320"/>
      <c r="H30" s="320"/>
      <c r="I30" s="321">
        <f>IF(OR('[1]3. Basic Input &amp; Assumptions'!$D$8="No",H30="No",H30=""),0,'[1]9. New Medicaid Provider Costs'!F30*'[1]9. New Medicaid Provider Costs'!G30)</f>
        <v>0</v>
      </c>
      <c r="J30" s="348"/>
      <c r="K30" s="310"/>
    </row>
    <row r="31" spans="2:12" ht="15.6">
      <c r="B31" s="347" t="s">
        <v>296</v>
      </c>
      <c r="C31" s="343"/>
      <c r="D31" s="352"/>
      <c r="E31" s="305"/>
      <c r="F31" s="260"/>
      <c r="G31" s="320"/>
      <c r="H31" s="320"/>
      <c r="I31" s="321">
        <f>IF(OR('[1]3. Basic Input &amp; Assumptions'!$D$8="No",H31="No",H31=""),0,'[1]9. New Medicaid Provider Costs'!F31*'[1]9. New Medicaid Provider Costs'!G31)</f>
        <v>0</v>
      </c>
      <c r="J31" s="348"/>
      <c r="K31" s="310"/>
    </row>
    <row r="32" spans="2:12" ht="30.95">
      <c r="B32" s="347" t="s">
        <v>298</v>
      </c>
      <c r="C32" s="343" t="s">
        <v>336</v>
      </c>
      <c r="D32" s="352" t="s">
        <v>341</v>
      </c>
      <c r="E32" s="305"/>
      <c r="F32" s="260"/>
      <c r="G32" s="320"/>
      <c r="H32" s="320"/>
      <c r="I32" s="321">
        <f>IF(OR('[1]3. Basic Input &amp; Assumptions'!$D$8="No",H32="No",H32=""),0,'[1]9. New Medicaid Provider Costs'!F32*'[1]9. New Medicaid Provider Costs'!G32)</f>
        <v>0</v>
      </c>
      <c r="J32" s="348" t="s">
        <v>301</v>
      </c>
      <c r="K32" s="310"/>
    </row>
    <row r="33" spans="2:14" ht="15.6">
      <c r="B33" s="347" t="s">
        <v>362</v>
      </c>
      <c r="C33" s="343" t="s">
        <v>336</v>
      </c>
      <c r="D33" s="352" t="s">
        <v>341</v>
      </c>
      <c r="E33" s="305"/>
      <c r="F33" s="260"/>
      <c r="G33" s="320"/>
      <c r="H33" s="320"/>
      <c r="I33" s="321">
        <f>IF(OR('[1]3. Basic Input &amp; Assumptions'!$D$8="No",H33="No",H33=""),0,'[1]9. New Medicaid Provider Costs'!F33*'[1]9. New Medicaid Provider Costs'!G33)</f>
        <v>0</v>
      </c>
      <c r="J33" s="348"/>
      <c r="K33" s="310"/>
    </row>
    <row r="34" spans="2:14" ht="30.95">
      <c r="B34" s="347" t="s">
        <v>302</v>
      </c>
      <c r="C34" s="343" t="s">
        <v>330</v>
      </c>
      <c r="D34" s="352" t="s">
        <v>341</v>
      </c>
      <c r="E34" s="305"/>
      <c r="F34" s="260">
        <v>300</v>
      </c>
      <c r="G34" s="320"/>
      <c r="H34" s="320"/>
      <c r="I34" s="321">
        <f>IF(OR('[1]3. Basic Input &amp; Assumptions'!$D$8="No",H34="No",H34=""),0,'[1]9. New Medicaid Provider Costs'!F34*'[1]9. New Medicaid Provider Costs'!G34)</f>
        <v>0</v>
      </c>
      <c r="J34" s="348" t="s">
        <v>363</v>
      </c>
      <c r="K34" s="310"/>
    </row>
    <row r="35" spans="2:14" ht="15.6">
      <c r="B35" s="347" t="s">
        <v>304</v>
      </c>
      <c r="C35" s="343" t="s">
        <v>336</v>
      </c>
      <c r="D35" s="352"/>
      <c r="E35" s="305"/>
      <c r="F35" s="260"/>
      <c r="G35" s="320"/>
      <c r="H35" s="320"/>
      <c r="I35" s="321"/>
      <c r="J35" s="348"/>
      <c r="K35" s="310"/>
    </row>
    <row r="36" spans="2:14" ht="46.5">
      <c r="B36" s="347" t="s">
        <v>305</v>
      </c>
      <c r="C36" s="343" t="s">
        <v>336</v>
      </c>
      <c r="D36" s="352" t="s">
        <v>344</v>
      </c>
      <c r="E36" s="305"/>
      <c r="F36" s="260"/>
      <c r="G36" s="320"/>
      <c r="H36" s="320"/>
      <c r="I36" s="321">
        <f>IF(OR('[1]3. Basic Input &amp; Assumptions'!$D$8="No",H36="No",H36=""),0,'[1]9. New Medicaid Provider Costs'!F36*'[1]9. New Medicaid Provider Costs'!G36)</f>
        <v>0</v>
      </c>
      <c r="J36" s="348" t="s">
        <v>364</v>
      </c>
      <c r="K36" s="310"/>
    </row>
    <row r="37" spans="2:14" ht="62.1">
      <c r="B37" s="347" t="s">
        <v>365</v>
      </c>
      <c r="C37" s="343" t="s">
        <v>336</v>
      </c>
      <c r="D37" s="352" t="s">
        <v>344</v>
      </c>
      <c r="E37" s="305" t="s">
        <v>332</v>
      </c>
      <c r="F37" s="260">
        <v>750</v>
      </c>
      <c r="G37" s="320">
        <v>12</v>
      </c>
      <c r="H37" s="320" t="s">
        <v>333</v>
      </c>
      <c r="I37" s="321">
        <f>IF(OR('[1]3. Basic Input &amp; Assumptions'!$D$8="No",H37="No",H37=""),0,'[1]9. New Medicaid Provider Costs'!F37*'[1]9. New Medicaid Provider Costs'!G37)</f>
        <v>0</v>
      </c>
      <c r="J37" s="348" t="s">
        <v>366</v>
      </c>
      <c r="K37" s="310"/>
    </row>
    <row r="38" spans="2:14" ht="62.1">
      <c r="B38" s="347" t="s">
        <v>367</v>
      </c>
      <c r="C38" s="343" t="s">
        <v>336</v>
      </c>
      <c r="D38" s="352" t="s">
        <v>341</v>
      </c>
      <c r="E38" s="305" t="s">
        <v>332</v>
      </c>
      <c r="F38" s="260">
        <v>100000</v>
      </c>
      <c r="G38" s="320">
        <v>1</v>
      </c>
      <c r="H38" s="320" t="s">
        <v>333</v>
      </c>
      <c r="I38" s="321">
        <f>IF(OR('[1]3. Basic Input &amp; Assumptions'!$D$8="No",H38="No",H38=""),0,'[1]9. New Medicaid Provider Costs'!F38*'[1]9. New Medicaid Provider Costs'!G38)</f>
        <v>0</v>
      </c>
      <c r="J38" s="348" t="s">
        <v>368</v>
      </c>
      <c r="K38" s="310"/>
    </row>
    <row r="39" spans="2:14" ht="15.6">
      <c r="B39" s="347" t="s">
        <v>309</v>
      </c>
      <c r="C39" s="343" t="s">
        <v>336</v>
      </c>
      <c r="D39" s="352"/>
      <c r="E39" s="305"/>
      <c r="F39" s="260"/>
      <c r="G39" s="320"/>
      <c r="H39" s="320"/>
      <c r="I39" s="321"/>
      <c r="J39" s="348"/>
      <c r="K39" s="310"/>
    </row>
    <row r="40" spans="2:14" ht="62.45" thickBot="1">
      <c r="B40" s="347" t="s">
        <v>369</v>
      </c>
      <c r="C40" s="343" t="s">
        <v>336</v>
      </c>
      <c r="D40" s="352" t="s">
        <v>341</v>
      </c>
      <c r="E40" s="305" t="s">
        <v>370</v>
      </c>
      <c r="F40" s="260">
        <v>20</v>
      </c>
      <c r="G40" s="320"/>
      <c r="H40" s="320"/>
      <c r="I40" s="321">
        <f>IF(OR('[1]3. Basic Input &amp; Assumptions'!$D$8="No",H40="No",H40=""),0,'[1]9. New Medicaid Provider Costs'!F40*'[1]9. New Medicaid Provider Costs'!G40)</f>
        <v>0</v>
      </c>
      <c r="J40" s="348" t="s">
        <v>371</v>
      </c>
      <c r="K40" s="310"/>
    </row>
    <row r="41" spans="2:14" ht="70.5" customHeight="1" thickBot="1">
      <c r="B41" s="347" t="s">
        <v>372</v>
      </c>
      <c r="C41" s="343" t="s">
        <v>338</v>
      </c>
      <c r="D41" s="352" t="s">
        <v>331</v>
      </c>
      <c r="E41" s="305" t="s">
        <v>373</v>
      </c>
      <c r="F41" s="260">
        <v>300</v>
      </c>
      <c r="G41" s="320">
        <v>5</v>
      </c>
      <c r="H41" s="320" t="s">
        <v>39</v>
      </c>
      <c r="I41" s="321">
        <f>IF(OR('[1]3. Basic Input &amp; Assumptions'!$D$8="No",H41="No",H41=""),0,'[1]9. New Medicaid Provider Costs'!F41*'[1]9. New Medicaid Provider Costs'!G41)</f>
        <v>1500</v>
      </c>
      <c r="J41" s="413" t="s">
        <v>374</v>
      </c>
      <c r="K41" s="535" t="s">
        <v>375</v>
      </c>
      <c r="L41" s="536"/>
      <c r="M41" s="524" t="s">
        <v>376</v>
      </c>
      <c r="N41" s="525"/>
    </row>
    <row r="42" spans="2:14" ht="46.5">
      <c r="B42" s="347" t="s">
        <v>276</v>
      </c>
      <c r="C42" s="343" t="s">
        <v>336</v>
      </c>
      <c r="D42" s="352"/>
      <c r="E42" s="305" t="s">
        <v>377</v>
      </c>
      <c r="F42" s="260"/>
      <c r="G42" s="320"/>
      <c r="H42" s="320"/>
      <c r="I42" s="321">
        <f>IF(OR('[1]3. Basic Input &amp; Assumptions'!$D$8="No",H42="No",H42=""),0,'[1]9. New Medicaid Provider Costs'!F42*'[1]9. New Medicaid Provider Costs'!G42)</f>
        <v>0</v>
      </c>
      <c r="J42" s="348"/>
      <c r="K42" s="310"/>
    </row>
    <row r="43" spans="2:14" ht="15.6">
      <c r="B43" s="347" t="s">
        <v>276</v>
      </c>
      <c r="C43" s="344"/>
      <c r="D43" s="353"/>
      <c r="E43" s="315"/>
      <c r="F43" s="377"/>
      <c r="G43" s="324"/>
      <c r="H43" s="324"/>
      <c r="I43" s="323">
        <f>IF(OR('[1]3. Basic Input &amp; Assumptions'!$D$8="No",H43="No",H43=""),0,'[1]9. New Medicaid Provider Costs'!F43*'[1]9. New Medicaid Provider Costs'!G43)</f>
        <v>0</v>
      </c>
      <c r="J43" s="354"/>
      <c r="K43" s="310"/>
    </row>
    <row r="44" spans="2:14" ht="15.6">
      <c r="B44" s="376" t="s">
        <v>378</v>
      </c>
      <c r="C44" s="400"/>
      <c r="D44" s="399"/>
      <c r="E44" s="399"/>
      <c r="F44" s="399"/>
      <c r="G44" s="399"/>
      <c r="H44" s="399"/>
      <c r="I44" s="399"/>
      <c r="J44" s="399"/>
      <c r="K44" s="310"/>
    </row>
    <row r="45" spans="2:14" s="329" customFormat="1" ht="46.5">
      <c r="B45" s="347" t="s">
        <v>379</v>
      </c>
      <c r="C45" s="378" t="s">
        <v>338</v>
      </c>
      <c r="D45" s="397" t="s">
        <v>341</v>
      </c>
      <c r="E45" s="398" t="s">
        <v>332</v>
      </c>
      <c r="F45" s="381">
        <v>595</v>
      </c>
      <c r="G45" s="383">
        <v>1</v>
      </c>
      <c r="H45" s="383" t="s">
        <v>39</v>
      </c>
      <c r="I45" s="384">
        <f>IF(OR('[1]3. Basic Input &amp; Assumptions'!$D$8="No",H45="No",H45=""),0,'[1]9. New Medicaid Provider Costs'!F45*'[1]9. New Medicaid Provider Costs'!G45)</f>
        <v>595</v>
      </c>
      <c r="J45" s="385" t="s">
        <v>380</v>
      </c>
    </row>
    <row r="46" spans="2:14" ht="46.5">
      <c r="B46" s="347" t="s">
        <v>381</v>
      </c>
      <c r="C46" s="343" t="s">
        <v>336</v>
      </c>
      <c r="D46" s="352" t="s">
        <v>341</v>
      </c>
      <c r="E46" s="305" t="s">
        <v>332</v>
      </c>
      <c r="F46" s="260">
        <v>8000</v>
      </c>
      <c r="G46" s="320">
        <v>1</v>
      </c>
      <c r="H46" s="320" t="s">
        <v>333</v>
      </c>
      <c r="I46" s="321">
        <f>IF(OR('[1]3. Basic Input &amp; Assumptions'!$D$8="No",H46="No",H46=""),0,'[1]9. New Medicaid Provider Costs'!F46*'[1]9. New Medicaid Provider Costs'!G46)</f>
        <v>0</v>
      </c>
      <c r="J46" s="348" t="s">
        <v>382</v>
      </c>
      <c r="K46" s="310"/>
    </row>
    <row r="47" spans="2:14" ht="15.6">
      <c r="B47" s="347" t="s">
        <v>381</v>
      </c>
      <c r="C47" s="343" t="s">
        <v>336</v>
      </c>
      <c r="D47" s="352" t="s">
        <v>331</v>
      </c>
      <c r="E47" s="305"/>
      <c r="F47" s="305"/>
      <c r="G47" s="305"/>
      <c r="H47" s="305" t="s">
        <v>333</v>
      </c>
      <c r="I47" s="321">
        <f>IF(OR('[1]3. Basic Input &amp; Assumptions'!$D$8="No",H47="No",H47=""),0,'[1]9. New Medicaid Provider Costs'!F47*'[1]9. New Medicaid Provider Costs'!G47)</f>
        <v>0</v>
      </c>
      <c r="J47" s="348"/>
      <c r="K47" s="310"/>
    </row>
    <row r="48" spans="2:14" ht="15.6">
      <c r="B48" s="350" t="s">
        <v>276</v>
      </c>
      <c r="C48" s="344" t="s">
        <v>336</v>
      </c>
      <c r="D48" s="353"/>
      <c r="E48" s="315"/>
      <c r="F48" s="315"/>
      <c r="G48" s="315"/>
      <c r="H48" s="315"/>
      <c r="I48" s="321">
        <f>IF(OR('[1]3. Basic Input &amp; Assumptions'!$D$8="No",H48="No",H48=""),0,'[1]9. New Medicaid Provider Costs'!F48*'[1]9. New Medicaid Provider Costs'!G48)</f>
        <v>0</v>
      </c>
      <c r="J48" s="354"/>
      <c r="K48" s="310"/>
    </row>
    <row r="49" spans="2:11" ht="15.6">
      <c r="B49" s="350" t="s">
        <v>276</v>
      </c>
      <c r="C49" s="344" t="s">
        <v>336</v>
      </c>
      <c r="D49" s="353"/>
      <c r="E49" s="315"/>
      <c r="F49" s="315"/>
      <c r="G49" s="315"/>
      <c r="H49" s="315"/>
      <c r="I49" s="321">
        <f>IF(OR('[1]3. Basic Input &amp; Assumptions'!$D$8="No",H49="No",H49=""),0,'[1]9. New Medicaid Provider Costs'!F49*'[1]9. New Medicaid Provider Costs'!G49)</f>
        <v>0</v>
      </c>
      <c r="J49" s="354"/>
      <c r="K49" s="310"/>
    </row>
    <row r="50" spans="2:11" ht="15.6">
      <c r="B50" s="350" t="s">
        <v>276</v>
      </c>
      <c r="C50" s="344" t="s">
        <v>336</v>
      </c>
      <c r="D50" s="353" t="s">
        <v>341</v>
      </c>
      <c r="E50" s="315"/>
      <c r="F50" s="315"/>
      <c r="G50" s="315"/>
      <c r="H50" s="315"/>
      <c r="I50" s="323">
        <f>IF(OR('[1]3. Basic Input &amp; Assumptions'!$D$8="No",H50="No",H50=""),0,'[1]9. New Medicaid Provider Costs'!F50*'[1]9. New Medicaid Provider Costs'!G50)</f>
        <v>0</v>
      </c>
      <c r="J50" s="354"/>
      <c r="K50" s="310"/>
    </row>
    <row r="51" spans="2:11" s="318" customFormat="1" ht="30.95">
      <c r="B51" s="416" t="s">
        <v>383</v>
      </c>
      <c r="C51" s="399"/>
      <c r="D51" s="399"/>
      <c r="E51" s="399"/>
      <c r="F51" s="399"/>
      <c r="G51" s="399"/>
      <c r="H51" s="399"/>
      <c r="I51" s="417">
        <f>SUMIF(D29:D50,"Start Up",I29:I50)</f>
        <v>595</v>
      </c>
      <c r="J51" s="345"/>
    </row>
    <row r="52" spans="2:11" s="318" customFormat="1" ht="30.95">
      <c r="B52" s="410" t="s">
        <v>384</v>
      </c>
      <c r="C52" s="399"/>
      <c r="D52" s="399"/>
      <c r="E52" s="399"/>
      <c r="F52" s="399"/>
      <c r="G52" s="399"/>
      <c r="H52" s="399"/>
      <c r="I52" s="418">
        <f>SUMIF(D29:D50,"Ongoing-monthly",I29:I50)+SUMIF(D29:D50,"Ongoing- Annual",I29:I50)+SUMIF(D29:D50,"Ongoing-quarterly",I29:I50)</f>
        <v>2250</v>
      </c>
      <c r="J52" s="342"/>
    </row>
    <row r="53" spans="2:11" ht="15.6">
      <c r="B53" s="410"/>
      <c r="C53" s="412"/>
      <c r="D53" s="412"/>
      <c r="E53" s="412"/>
      <c r="F53" s="412"/>
      <c r="G53" s="412"/>
      <c r="H53" s="412"/>
      <c r="I53" s="396"/>
      <c r="J53" s="342"/>
      <c r="K53" s="310"/>
    </row>
    <row r="54" spans="2:11" s="330" customFormat="1" ht="51.75" customHeight="1">
      <c r="B54" s="342" t="s">
        <v>385</v>
      </c>
      <c r="C54" s="411"/>
      <c r="D54" s="411"/>
      <c r="E54" s="411"/>
      <c r="F54" s="411"/>
      <c r="G54" s="411"/>
      <c r="H54" s="411"/>
      <c r="I54" s="357">
        <f>SUM(I24,I51)</f>
        <v>20595</v>
      </c>
      <c r="J54" s="355"/>
    </row>
    <row r="55" spans="2:11" s="330" customFormat="1" ht="36.950000000000003" customHeight="1">
      <c r="B55" s="346" t="s">
        <v>386</v>
      </c>
      <c r="C55" s="346"/>
      <c r="D55" s="346"/>
      <c r="E55" s="346"/>
      <c r="F55" s="346"/>
      <c r="G55" s="346"/>
      <c r="H55" s="346"/>
      <c r="I55" s="358">
        <f>SUM(I25,I52)</f>
        <v>48500</v>
      </c>
      <c r="J55" s="356"/>
    </row>
    <row r="56" spans="2:11" ht="15.95" thickBot="1">
      <c r="B56" s="331"/>
      <c r="C56" s="331"/>
      <c r="D56" s="331"/>
      <c r="E56" s="331"/>
      <c r="F56" s="331"/>
      <c r="G56" s="331"/>
      <c r="H56" s="331"/>
      <c r="I56" s="331"/>
      <c r="J56" s="332"/>
      <c r="K56" s="310"/>
    </row>
    <row r="57" spans="2:11" ht="31.7" customHeight="1">
      <c r="B57" s="526" t="s">
        <v>387</v>
      </c>
      <c r="C57" s="527"/>
      <c r="D57" s="527"/>
      <c r="E57" s="527"/>
      <c r="F57" s="528"/>
      <c r="G57" s="311"/>
      <c r="H57" s="311"/>
      <c r="I57" s="311"/>
      <c r="J57" s="312"/>
      <c r="K57" s="310"/>
    </row>
    <row r="58" spans="2:11" ht="18.600000000000001">
      <c r="B58" s="419" t="s">
        <v>388</v>
      </c>
      <c r="C58" s="529"/>
      <c r="D58" s="529"/>
      <c r="E58" s="529"/>
      <c r="F58" s="530"/>
      <c r="G58" s="311"/>
      <c r="H58" s="312"/>
      <c r="K58" s="310"/>
    </row>
    <row r="59" spans="2:11" ht="29.1">
      <c r="B59" s="420">
        <v>500000</v>
      </c>
      <c r="C59" s="251" t="s">
        <v>389</v>
      </c>
      <c r="D59" s="251" t="s">
        <v>390</v>
      </c>
      <c r="E59" s="251" t="s">
        <v>391</v>
      </c>
      <c r="F59" s="421" t="s">
        <v>392</v>
      </c>
      <c r="G59" s="311"/>
      <c r="H59" s="312"/>
      <c r="K59" s="310"/>
    </row>
    <row r="60" spans="2:11" ht="15.6">
      <c r="B60" s="422" t="s">
        <v>393</v>
      </c>
      <c r="C60" s="336">
        <v>1</v>
      </c>
      <c r="D60" s="336">
        <v>0</v>
      </c>
      <c r="E60" s="368">
        <f>B59</f>
        <v>500000</v>
      </c>
      <c r="F60" s="423">
        <f>B59*Table1[[#This Row],[Percent of Budget covered by Medicaid Reimbursement]]</f>
        <v>0</v>
      </c>
      <c r="G60" s="311"/>
      <c r="H60" s="312"/>
      <c r="K60" s="310"/>
    </row>
    <row r="61" spans="2:11" ht="15.6">
      <c r="B61" s="422" t="s">
        <v>394</v>
      </c>
      <c r="C61" s="336">
        <v>0.99</v>
      </c>
      <c r="D61" s="336">
        <v>0.01</v>
      </c>
      <c r="E61" s="369">
        <f>E60*Table1[[#This Row],[Percent of Budget covered by Grant Funding ]]</f>
        <v>495000</v>
      </c>
      <c r="F61" s="424">
        <f>B59*Table1[[#This Row],[Percent of Budget covered by Medicaid Reimbursement]]</f>
        <v>5000</v>
      </c>
      <c r="G61" s="311"/>
      <c r="H61" s="312"/>
      <c r="K61" s="310"/>
    </row>
    <row r="62" spans="2:11" ht="15.6">
      <c r="B62" s="422" t="s">
        <v>395</v>
      </c>
      <c r="C62" s="336">
        <v>0.97</v>
      </c>
      <c r="D62" s="336">
        <v>0.03</v>
      </c>
      <c r="E62" s="369">
        <f>E60*Table1[[#This Row],[Percent of Budget covered by Grant Funding ]]</f>
        <v>485000</v>
      </c>
      <c r="F62" s="424">
        <f>B59*Table1[[#This Row],[Percent of Budget covered by Medicaid Reimbursement]]</f>
        <v>15000</v>
      </c>
      <c r="G62" s="311"/>
      <c r="H62" s="312"/>
      <c r="K62" s="310"/>
    </row>
    <row r="63" spans="2:11" ht="15.6">
      <c r="B63" s="422" t="s">
        <v>396</v>
      </c>
      <c r="C63" s="336">
        <v>0.95</v>
      </c>
      <c r="D63" s="337">
        <v>0.05</v>
      </c>
      <c r="E63" s="369">
        <f>E60*Table1[[#This Row],[Percent of Budget covered by Grant Funding ]]</f>
        <v>475000</v>
      </c>
      <c r="F63" s="424">
        <f>B59*Table1[[#This Row],[Percent of Budget covered by Medicaid Reimbursement]]</f>
        <v>25000</v>
      </c>
      <c r="G63" s="311"/>
      <c r="H63" s="312"/>
      <c r="K63" s="310"/>
    </row>
    <row r="64" spans="2:11" ht="15.6">
      <c r="B64" s="422" t="s">
        <v>397</v>
      </c>
      <c r="C64" s="336">
        <v>0.9</v>
      </c>
      <c r="D64" s="337">
        <v>0.1</v>
      </c>
      <c r="E64" s="369">
        <f>E60*Table1[[#This Row],[Percent of Budget covered by Grant Funding ]]</f>
        <v>450000</v>
      </c>
      <c r="F64" s="424">
        <f>B59*Table1[[#This Row],[Percent of Budget covered by Medicaid Reimbursement]]</f>
        <v>50000</v>
      </c>
      <c r="G64" s="311"/>
      <c r="H64" s="312"/>
      <c r="K64" s="310"/>
    </row>
    <row r="65" spans="2:11" ht="15.6">
      <c r="B65" s="422" t="s">
        <v>398</v>
      </c>
      <c r="C65" s="336">
        <v>0.85</v>
      </c>
      <c r="D65" s="337">
        <v>0.15</v>
      </c>
      <c r="E65" s="369">
        <f>E60*Table1[[#This Row],[Percent of Budget covered by Grant Funding ]]</f>
        <v>425000</v>
      </c>
      <c r="F65" s="424">
        <f>B59*Table1[[#This Row],[Percent of Budget covered by Medicaid Reimbursement]]</f>
        <v>75000</v>
      </c>
      <c r="G65" s="311"/>
      <c r="H65" s="312"/>
      <c r="K65" s="310"/>
    </row>
    <row r="66" spans="2:11" ht="15.6">
      <c r="B66" s="422" t="s">
        <v>399</v>
      </c>
      <c r="C66" s="336">
        <v>0.8</v>
      </c>
      <c r="D66" s="337">
        <v>0.2</v>
      </c>
      <c r="E66" s="369">
        <f>E60*Table1[[#This Row],[Percent of Budget covered by Grant Funding ]]</f>
        <v>400000</v>
      </c>
      <c r="F66" s="424">
        <f>B59*Table1[[#This Row],[Percent of Budget covered by Medicaid Reimbursement]]</f>
        <v>100000</v>
      </c>
      <c r="G66" s="311"/>
      <c r="H66" s="312"/>
      <c r="K66" s="310"/>
    </row>
    <row r="67" spans="2:11" ht="15.6">
      <c r="B67" s="422" t="s">
        <v>400</v>
      </c>
      <c r="C67" s="336">
        <v>0.7</v>
      </c>
      <c r="D67" s="337">
        <v>0.3</v>
      </c>
      <c r="E67" s="369">
        <f>E60*Table1[[#This Row],[Percent of Budget covered by Grant Funding ]]</f>
        <v>350000</v>
      </c>
      <c r="F67" s="424">
        <f>B59*Table1[[#This Row],[Percent of Budget covered by Medicaid Reimbursement]]</f>
        <v>150000</v>
      </c>
      <c r="G67" s="311"/>
      <c r="H67" s="312"/>
      <c r="K67" s="310"/>
    </row>
    <row r="68" spans="2:11" ht="15.6">
      <c r="B68" s="422" t="s">
        <v>401</v>
      </c>
      <c r="C68" s="336">
        <v>0.6</v>
      </c>
      <c r="D68" s="337">
        <v>0.4</v>
      </c>
      <c r="E68" s="369">
        <f>E60*Table1[[#This Row],[Percent of Budget covered by Grant Funding ]]</f>
        <v>300000</v>
      </c>
      <c r="F68" s="424">
        <f>B59*Table1[[#This Row],[Percent of Budget covered by Medicaid Reimbursement]]</f>
        <v>200000</v>
      </c>
      <c r="G68" s="311"/>
      <c r="H68" s="312"/>
      <c r="K68" s="310"/>
    </row>
    <row r="69" spans="2:11" ht="15.6">
      <c r="B69" s="422" t="s">
        <v>402</v>
      </c>
      <c r="C69" s="336">
        <v>0.5</v>
      </c>
      <c r="D69" s="337">
        <v>0.5</v>
      </c>
      <c r="E69" s="369">
        <f>E60*Table1[[#This Row],[Percent of Budget covered by Grant Funding ]]</f>
        <v>250000</v>
      </c>
      <c r="F69" s="424">
        <f>B59*Table1[[#This Row],[Percent of Budget covered by Medicaid Reimbursement]]</f>
        <v>250000</v>
      </c>
      <c r="G69" s="311"/>
      <c r="H69" s="312"/>
      <c r="K69" s="310"/>
    </row>
    <row r="70" spans="2:11" ht="15.6">
      <c r="B70" s="422" t="s">
        <v>403</v>
      </c>
      <c r="C70" s="336">
        <v>0.4</v>
      </c>
      <c r="D70" s="337">
        <v>0.6</v>
      </c>
      <c r="E70" s="369">
        <f>E60*Table1[[#This Row],[Percent of Budget covered by Grant Funding ]]</f>
        <v>200000</v>
      </c>
      <c r="F70" s="424">
        <f>B59*Table1[[#This Row],[Percent of Budget covered by Medicaid Reimbursement]]</f>
        <v>300000</v>
      </c>
      <c r="G70" s="311"/>
      <c r="H70" s="312"/>
      <c r="K70" s="310"/>
    </row>
    <row r="71" spans="2:11" ht="15.6">
      <c r="B71" s="422" t="s">
        <v>404</v>
      </c>
      <c r="C71" s="336">
        <v>0.3</v>
      </c>
      <c r="D71" s="337">
        <v>0.7</v>
      </c>
      <c r="E71" s="369">
        <f>E60*Table1[[#This Row],[Percent of Budget covered by Grant Funding ]]</f>
        <v>150000</v>
      </c>
      <c r="F71" s="424">
        <f>B59*Table1[[#This Row],[Percent of Budget covered by Medicaid Reimbursement]]</f>
        <v>350000</v>
      </c>
      <c r="G71" s="311"/>
      <c r="H71" s="312"/>
      <c r="K71" s="310"/>
    </row>
    <row r="72" spans="2:11" ht="15.95" thickBot="1">
      <c r="B72" s="425" t="s">
        <v>405</v>
      </c>
      <c r="C72" s="426">
        <v>0.25</v>
      </c>
      <c r="D72" s="427">
        <v>0.75</v>
      </c>
      <c r="E72" s="428">
        <f>E60*Table1[[#This Row],[Percent of Budget covered by Grant Funding ]]</f>
        <v>125000</v>
      </c>
      <c r="F72" s="429">
        <f>B59*Table1[[#This Row],[Percent of Budget covered by Medicaid Reimbursement]]</f>
        <v>375000</v>
      </c>
      <c r="G72" s="311"/>
      <c r="H72" s="312"/>
      <c r="K72" s="310"/>
    </row>
    <row r="73" spans="2:11">
      <c r="B73" s="334"/>
      <c r="E73" s="335"/>
      <c r="F73" s="310"/>
      <c r="J73" s="333"/>
      <c r="K73" s="310"/>
    </row>
    <row r="74" spans="2:11">
      <c r="B74" s="334"/>
      <c r="E74" s="335"/>
      <c r="F74" s="310"/>
      <c r="J74" s="333"/>
      <c r="K74" s="310"/>
    </row>
    <row r="75" spans="2:11">
      <c r="B75" s="334"/>
      <c r="E75" s="335"/>
      <c r="F75" s="310"/>
      <c r="J75" s="333"/>
      <c r="K75" s="310"/>
    </row>
    <row r="76" spans="2:11">
      <c r="B76" s="334"/>
      <c r="E76" s="335"/>
      <c r="F76" s="310"/>
      <c r="J76" s="333"/>
      <c r="K76" s="310"/>
    </row>
  </sheetData>
  <mergeCells count="8">
    <mergeCell ref="M41:N41"/>
    <mergeCell ref="B57:F57"/>
    <mergeCell ref="C58:F58"/>
    <mergeCell ref="A2:J2"/>
    <mergeCell ref="B4:J4"/>
    <mergeCell ref="B6:J6"/>
    <mergeCell ref="K21:L21"/>
    <mergeCell ref="K41:L41"/>
  </mergeCells>
  <conditionalFormatting sqref="C39:C49 C12:C37">
    <cfRule type="containsText" dxfId="16" priority="10" operator="containsText" text="Required-CMS">
      <formula>NOT(ISERROR(SEARCH("Required-CMS",C12)))</formula>
    </cfRule>
    <cfRule type="containsText" dxfId="15" priority="11" operator="containsText" text="Required-State Medicaid">
      <formula>NOT(ISERROR(SEARCH("Required-State Medicaid",C12)))</formula>
    </cfRule>
    <cfRule type="containsText" dxfId="14" priority="12" operator="containsText" text="Not Required (optional)">
      <formula>NOT(ISERROR(SEARCH("Not Required (optional)",C12)))</formula>
    </cfRule>
  </conditionalFormatting>
  <conditionalFormatting sqref="C50">
    <cfRule type="containsText" dxfId="13" priority="7" operator="containsText" text="Required-CMS">
      <formula>NOT(ISERROR(SEARCH("Required-CMS",C50)))</formula>
    </cfRule>
    <cfRule type="containsText" dxfId="12" priority="8" operator="containsText" text="Required-State Medicaid">
      <formula>NOT(ISERROR(SEARCH("Required-State Medicaid",C50)))</formula>
    </cfRule>
    <cfRule type="containsText" dxfId="11" priority="9" operator="containsText" text="Not Required (optional)">
      <formula>NOT(ISERROR(SEARCH("Not Required (optional)",C50)))</formula>
    </cfRule>
  </conditionalFormatting>
  <conditionalFormatting sqref="C38">
    <cfRule type="containsText" dxfId="10" priority="3" operator="containsText" text="Required-CMS">
      <formula>NOT(ISERROR(SEARCH("Required-CMS",C38)))</formula>
    </cfRule>
    <cfRule type="containsText" dxfId="9" priority="4" operator="containsText" text="Required-State Medicaid">
      <formula>NOT(ISERROR(SEARCH("Required-State Medicaid",C38)))</formula>
    </cfRule>
    <cfRule type="containsText" dxfId="8" priority="5" operator="containsText" text="Not Required (optional)">
      <formula>NOT(ISERROR(SEARCH("Not Required (optional)",C38)))</formula>
    </cfRule>
  </conditionalFormatting>
  <dataValidations count="5">
    <dataValidation type="list" allowBlank="1" showInputMessage="1" showErrorMessage="1" sqref="H12:H14 H16:H17 H19 H21:H23" xr:uid="{00000000-0002-0000-0800-000000000000}">
      <formula1>"No,Yes"</formula1>
    </dataValidation>
    <dataValidation type="list" allowBlank="1" showInputMessage="1" showErrorMessage="1" sqref="D21:D23 D12:D14 D16:D17 D19 D45:D50 D29:D43" xr:uid="{00000000-0002-0000-0800-000001000000}">
      <formula1>"Start Up, Ongoing-monthly, Ongoing-quarterly, Ongoing- Annual"</formula1>
    </dataValidation>
    <dataValidation type="list" allowBlank="1" showInputMessage="1" showErrorMessage="1" sqref="C12:C14 C16:C17 C21:C23 C19 C45:C50 C29:C43" xr:uid="{00000000-0002-0000-0800-000002000000}">
      <formula1>"Required-CMS, Required-State Medicaid, Not Required (optional)"</formula1>
    </dataValidation>
    <dataValidation type="list" allowBlank="1" showInputMessage="1" showErrorMessage="1" sqref="H45:H50 H29:H43" xr:uid="{00000000-0002-0000-0800-000003000000}">
      <formula1>"Yes, No"</formula1>
    </dataValidation>
    <dataValidation type="list" allowBlank="1" showInputMessage="1" showErrorMessage="1" promptTitle="Select Staffing Model" sqref="F5" xr:uid="{00000000-0002-0000-0800-000004000000}">
      <formula1>"Apply to Housing Stabilization Services Tab 4"</formula1>
    </dataValidation>
  </dataValidations>
  <hyperlinks>
    <hyperlink ref="K41" r:id="rId1" xr:uid="{00000000-0004-0000-0800-000000000000}"/>
    <hyperlink ref="M41" r:id="rId2" location="!" xr:uid="{00000000-0004-0000-0800-000001000000}"/>
    <hyperlink ref="K21:L21" r:id="rId3" display="HIPAA FAQs link to U.S. Dept of Health and Human Services website" xr:uid="{00000000-0004-0000-0800-000002000000}"/>
  </hyperlinks>
  <pageMargins left="0.7" right="0.7" top="0.75" bottom="0.75" header="0.3" footer="0.3"/>
  <pageSetup orientation="portrait" horizontalDpi="1200" verticalDpi="1200" r:id="rId4"/>
  <drawing r:id="rId5"/>
  <legacyDrawing r:id="rId6"/>
  <tableParts count="1">
    <tablePart r:id="rId7"/>
  </tableParts>
  <extLst>
    <ext xmlns:x14="http://schemas.microsoft.com/office/spreadsheetml/2009/9/main" uri="{78C0D931-6437-407d-A8EE-F0AAD7539E65}">
      <x14:conditionalFormattings>
        <x14:conditionalFormatting xmlns:xm="http://schemas.microsoft.com/office/excel/2006/main">
          <x14:cfRule type="expression" priority="6" id="{E6383EEF-1E6F-4624-B5A3-8C2B9DFCCEFA}">
            <xm:f>'C:\CSH Internal\Field Offices\Central\MN\2021\Service Budget Tool Tailored\[CSH Services Budget Tool 2.0_MN HSS tailored  2020-10 TEST.xlsx]3. Basic Input &amp; Assumptions'!#REF!="No"</xm:f>
            <x14:dxf>
              <font>
                <color theme="0"/>
              </font>
              <fill>
                <patternFill>
                  <bgColor theme="0"/>
                </patternFill>
              </fill>
              <border>
                <left/>
                <right/>
                <top/>
                <bottom/>
                <vertical/>
                <horizontal/>
              </border>
            </x14:dxf>
          </x14:cfRule>
          <xm:sqref>B39:J56 B4:J37 B58:J72 B57 G57:J57</xm:sqref>
        </x14:conditionalFormatting>
        <x14:conditionalFormatting xmlns:xm="http://schemas.microsoft.com/office/excel/2006/main">
          <x14:cfRule type="expression" priority="2" id="{0D6DE15E-A09F-48DF-9443-7BED45CA9C43}">
            <xm:f>'C:\CSH Internal\Field Offices\Central\MN\2021\Service Budget Tool Tailored\[CSH Services Budget Tool 2.0_MN HSS tailored  2020-10 TEST.xlsx]3. Basic Input &amp; Assumptions'!#REF!="No"</xm:f>
            <x14:dxf>
              <font>
                <color theme="0"/>
              </font>
              <fill>
                <patternFill>
                  <bgColor theme="0"/>
                </patternFill>
              </fill>
              <border>
                <left/>
                <right/>
                <top/>
                <bottom/>
                <vertical/>
                <horizontal/>
              </border>
            </x14:dxf>
          </x14:cfRule>
          <xm:sqref>B38:H38 J38</xm:sqref>
        </x14:conditionalFormatting>
        <x14:conditionalFormatting xmlns:xm="http://schemas.microsoft.com/office/excel/2006/main">
          <x14:cfRule type="expression" priority="1" id="{DC7B2A3A-B99E-42B3-9542-99A75B5BF30E}">
            <xm:f>'C:\CSH Internal\Field Offices\Central\MN\2021\Service Budget Tool Tailored\[CSH Services Budget Tool 2.0_MN HSS tailored  2020-10 TEST.xlsx]3. Basic Input &amp; Assumptions'!#REF!="No"</xm:f>
            <x14:dxf>
              <font>
                <color theme="0"/>
              </font>
              <fill>
                <patternFill>
                  <bgColor theme="0"/>
                </patternFill>
              </fill>
              <border>
                <left/>
                <right/>
                <top/>
                <bottom/>
                <vertical/>
                <horizontal/>
              </border>
            </x14:dxf>
          </x14:cfRule>
          <xm:sqref>I38</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844814CE9C1394D85BEE9CB503172B7" ma:contentTypeVersion="14" ma:contentTypeDescription="Create a new document." ma:contentTypeScope="" ma:versionID="e01b40c68fa23132dc5d98bb164bcb47">
  <xsd:schema xmlns:xsd="http://www.w3.org/2001/XMLSchema" xmlns:xs="http://www.w3.org/2001/XMLSchema" xmlns:p="http://schemas.microsoft.com/office/2006/metadata/properties" xmlns:ns1="http://schemas.microsoft.com/sharepoint/v3" xmlns:ns2="56e15c6e-8ede-43eb-83b1-a7323c75a442" xmlns:ns3="22fc4e75-b06a-47b2-b30d-e3117e048cc2" targetNamespace="http://schemas.microsoft.com/office/2006/metadata/properties" ma:root="true" ma:fieldsID="3538d50864d953b4e355e410df24dbbe" ns1:_="" ns2:_="" ns3:_="">
    <xsd:import namespace="http://schemas.microsoft.com/sharepoint/v3"/>
    <xsd:import namespace="56e15c6e-8ede-43eb-83b1-a7323c75a442"/>
    <xsd:import namespace="22fc4e75-b06a-47b2-b30d-e3117e048cc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LengthInSeconds" minOccurs="0"/>
                <xsd:element ref="ns3:MediaServiceAutoKeyPoints" minOccurs="0"/>
                <xsd:element ref="ns3:MediaServiceKeyPoints" minOccurs="0"/>
                <xsd:element ref="ns3:MediaServiceDateTaken" minOccurs="0"/>
                <xsd:element ref="ns1:_ip_UnifiedCompliancePolicyProperties" minOccurs="0"/>
                <xsd:element ref="ns1:_ip_UnifiedCompliancePolicyUIAction"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6e15c6e-8ede-43eb-83b1-a7323c75a44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2fc4e75-b06a-47b2-b30d-e3117e048cc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B7C7520-8015-4566-94DF-42205B3C059D}"/>
</file>

<file path=customXml/itemProps2.xml><?xml version="1.0" encoding="utf-8"?>
<ds:datastoreItem xmlns:ds="http://schemas.openxmlformats.org/officeDocument/2006/customXml" ds:itemID="{076211D5-C48D-4BEE-8362-24FF2A5773C5}"/>
</file>

<file path=customXml/itemProps3.xml><?xml version="1.0" encoding="utf-8"?>
<ds:datastoreItem xmlns:ds="http://schemas.openxmlformats.org/officeDocument/2006/customXml" ds:itemID="{D63F3A4A-8264-41CA-A0C5-A4AB0FEFC682}"/>
</file>

<file path=docProps/app.xml><?xml version="1.0" encoding="utf-8"?>
<Properties xmlns="http://schemas.openxmlformats.org/officeDocument/2006/extended-properties" xmlns:vt="http://schemas.openxmlformats.org/officeDocument/2006/docPropsVTypes">
  <Application>Microsoft Excel Online</Application>
  <Manager/>
  <Company>CorpSH</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Cheryl Winter</dc:creator>
  <cp:keywords/>
  <dc:description/>
  <cp:lastModifiedBy>Ambrosia Crump</cp:lastModifiedBy>
  <cp:revision/>
  <dcterms:created xsi:type="dcterms:W3CDTF">2017-08-18T13:27:21Z</dcterms:created>
  <dcterms:modified xsi:type="dcterms:W3CDTF">2022-08-17T15:47:24Z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0x0101007844814CE9C1394D85BEE9CB503172B7</vt:lpwstr>
  </property>
</Properties>
</file>